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ables/table3.xml" ContentType="application/vnd.openxmlformats-officedocument.spreadsheetml.table+xml"/>
  <Override PartName="/xl/tables/table4.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updateLinks="never" codeName="ThisWorkbook" defaultThemeVersion="124226"/>
  <bookViews>
    <workbookView xWindow="11640" yWindow="-120" windowWidth="9735" windowHeight="10005" tabRatio="748"/>
  </bookViews>
  <sheets>
    <sheet name="Introduction" sheetId="47" r:id="rId1"/>
    <sheet name="Sector_Breakdown" sheetId="45" r:id="rId2"/>
    <sheet name="Infrastructure pipeline" sheetId="6" r:id="rId3"/>
    <sheet name="Indexation data" sheetId="11" r:id="rId4"/>
    <sheet name="Additional Notes" sheetId="10" r:id="rId5"/>
  </sheets>
  <externalReferences>
    <externalReference r:id="rId6"/>
  </externalReferences>
  <definedNames>
    <definedName name="_baseindex">'Indexation data'!$B$17</definedName>
    <definedName name="_baseyear">'Indexation data'!$B$14</definedName>
    <definedName name="_deflator" localSheetId="3">'Indexation data'!$B$15</definedName>
    <definedName name="_xlnm._FilterDatabase" localSheetId="2" hidden="1">'Infrastructure pipeline'!$AD$1:$AL$648</definedName>
    <definedName name="BLPH1" hidden="1">'[1]4.6 ten year bonds'!$A$4</definedName>
    <definedName name="BLPH2" hidden="1">'[1]4.6 ten year bonds'!$D$4</definedName>
    <definedName name="BLPH3" hidden="1">'[1]4.6 ten year bonds'!$G$4</definedName>
    <definedName name="BLPH4" hidden="1">'[1]4.6 ten year bonds'!$J$4</definedName>
    <definedName name="BLPH5" hidden="1">'[1]4.6 ten year bonds'!$M$4</definedName>
    <definedName name="jhkgh" localSheetId="4"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0"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NIP2013_Pipeline">'Infrastructure pipeline'!$A$1:$AL$647</definedName>
    <definedName name="Option2" localSheetId="4"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0"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_xlnm.Print_Area" localSheetId="4">'Additional Notes'!$A$2:$B$12</definedName>
    <definedName name="_xlnm.Print_Area" localSheetId="0">Introduction!$A$1:$A$7</definedName>
    <definedName name="_xlnm.Print_Titles" localSheetId="2">'Infrastructure pipeline'!$C:$D,'Infrastructure pipeline'!$1:$1</definedName>
    <definedName name="trggh" localSheetId="4"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0"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0"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25725"/>
  <pivotCaches>
    <pivotCache cacheId="0" r:id="rId7"/>
  </pivotCaches>
</workbook>
</file>

<file path=xl/calcChain.xml><?xml version="1.0" encoding="utf-8"?>
<calcChain xmlns="http://schemas.openxmlformats.org/spreadsheetml/2006/main">
  <c r="P648" i="6"/>
  <c r="V648"/>
  <c r="U648"/>
  <c r="T648"/>
  <c r="S648"/>
  <c r="R648"/>
  <c r="U288"/>
  <c r="Q648"/>
  <c r="AD2"/>
  <c r="AD4"/>
  <c r="AD5"/>
  <c r="AD9"/>
  <c r="AD24"/>
  <c r="AD26"/>
  <c r="AD27"/>
  <c r="AD28"/>
  <c r="AD29"/>
  <c r="AD30"/>
  <c r="AD31"/>
  <c r="AD32"/>
  <c r="AD33"/>
  <c r="AD34"/>
  <c r="AD35"/>
  <c r="AD36"/>
  <c r="AD37"/>
  <c r="AD38"/>
  <c r="AD39"/>
  <c r="AD40"/>
  <c r="AD41"/>
  <c r="AD42"/>
  <c r="AD43"/>
  <c r="AD44"/>
  <c r="AD45"/>
  <c r="AD46"/>
  <c r="AD47"/>
  <c r="AD48"/>
  <c r="AD49"/>
  <c r="AD50"/>
  <c r="AD51"/>
  <c r="AD52"/>
  <c r="AD53"/>
  <c r="AD54"/>
  <c r="AD55"/>
  <c r="AD56"/>
  <c r="AD57"/>
  <c r="AD58"/>
  <c r="AD59"/>
  <c r="AD60"/>
  <c r="AD61"/>
  <c r="AD62"/>
  <c r="AD63"/>
  <c r="AD64"/>
  <c r="AD65"/>
  <c r="AD66"/>
  <c r="AD67"/>
  <c r="AD68"/>
  <c r="AD69"/>
  <c r="AD70"/>
  <c r="AD71"/>
  <c r="AD72"/>
  <c r="AD73"/>
  <c r="AD74"/>
  <c r="AD75"/>
  <c r="AD76"/>
  <c r="AD77"/>
  <c r="AD78"/>
  <c r="AD79"/>
  <c r="AD80"/>
  <c r="AD81"/>
  <c r="AD82"/>
  <c r="AD83"/>
  <c r="AD84"/>
  <c r="AD85"/>
  <c r="AD86"/>
  <c r="AD87"/>
  <c r="AD88"/>
  <c r="AD89"/>
  <c r="AD90"/>
  <c r="AD91"/>
  <c r="AD92"/>
  <c r="AD93"/>
  <c r="AD94"/>
  <c r="AD95"/>
  <c r="AD96"/>
  <c r="AD97"/>
  <c r="AD98"/>
  <c r="AD99"/>
  <c r="AD100"/>
  <c r="AD101"/>
  <c r="AD102"/>
  <c r="AD103"/>
  <c r="AD104"/>
  <c r="AD105"/>
  <c r="AD106"/>
  <c r="AD107"/>
  <c r="AD108"/>
  <c r="AD109"/>
  <c r="AD110"/>
  <c r="AD111"/>
  <c r="AD112"/>
  <c r="AD113"/>
  <c r="AD114"/>
  <c r="AD115"/>
  <c r="AD116"/>
  <c r="AD117"/>
  <c r="AD118"/>
  <c r="AD119"/>
  <c r="AD120"/>
  <c r="AD121"/>
  <c r="AD122"/>
  <c r="AD123"/>
  <c r="AD124"/>
  <c r="AD127"/>
  <c r="AD128"/>
  <c r="AD129"/>
  <c r="AD130"/>
  <c r="AD131"/>
  <c r="AD132"/>
  <c r="AD133"/>
  <c r="AD134"/>
  <c r="AD135"/>
  <c r="AD136"/>
  <c r="AD137"/>
  <c r="AD138"/>
  <c r="AD139"/>
  <c r="AD140"/>
  <c r="AD141"/>
  <c r="AD142"/>
  <c r="AD143"/>
  <c r="AD144"/>
  <c r="AD145"/>
  <c r="AD146"/>
  <c r="AD147"/>
  <c r="AD148"/>
  <c r="AD149"/>
  <c r="AD150"/>
  <c r="AD151"/>
  <c r="AD152"/>
  <c r="AD153"/>
  <c r="AD154"/>
  <c r="AD155"/>
  <c r="AD156"/>
  <c r="AD157"/>
  <c r="AD158"/>
  <c r="AD159"/>
  <c r="AD160"/>
  <c r="AD161"/>
  <c r="AD162"/>
  <c r="AD163"/>
  <c r="AD164"/>
  <c r="AD165"/>
  <c r="AD166"/>
  <c r="AD167"/>
  <c r="AD168"/>
  <c r="AD169"/>
  <c r="AD170"/>
  <c r="AD171"/>
  <c r="AD172"/>
  <c r="AD173"/>
  <c r="AD174"/>
  <c r="AD175"/>
  <c r="AD177"/>
  <c r="AD178"/>
  <c r="AD179"/>
  <c r="AD180"/>
  <c r="AD181"/>
  <c r="AD182"/>
  <c r="AD183"/>
  <c r="AD184"/>
  <c r="AD185"/>
  <c r="AD186"/>
  <c r="AD187"/>
  <c r="AD188"/>
  <c r="AD189"/>
  <c r="AD190"/>
  <c r="AD191"/>
  <c r="AD192"/>
  <c r="AD193"/>
  <c r="AD194"/>
  <c r="AD195"/>
  <c r="AD196"/>
  <c r="AD197"/>
  <c r="AD198"/>
  <c r="AD199"/>
  <c r="AD200"/>
  <c r="AD201"/>
  <c r="AD202"/>
  <c r="AD203"/>
  <c r="AD204"/>
  <c r="AD205"/>
  <c r="AD206"/>
  <c r="AD207"/>
  <c r="AD208"/>
  <c r="AD209"/>
  <c r="AD210"/>
  <c r="AD211"/>
  <c r="AD212"/>
  <c r="AD213"/>
  <c r="AD214"/>
  <c r="AD215"/>
  <c r="AD216"/>
  <c r="AD217"/>
  <c r="AD218"/>
  <c r="AD219"/>
  <c r="AD220"/>
  <c r="AD221"/>
  <c r="AD222"/>
  <c r="AD223"/>
  <c r="AD224"/>
  <c r="AD225"/>
  <c r="AD226"/>
  <c r="AD227"/>
  <c r="AD228"/>
  <c r="AD229"/>
  <c r="AD230"/>
  <c r="AD231"/>
  <c r="AD232"/>
  <c r="AD233"/>
  <c r="AD234"/>
  <c r="AD242"/>
  <c r="AD243"/>
  <c r="AD244"/>
  <c r="AD245"/>
  <c r="AD246"/>
  <c r="AD247"/>
  <c r="AD248"/>
  <c r="AD250"/>
  <c r="AD261"/>
  <c r="AD262"/>
  <c r="AD263"/>
  <c r="AD264"/>
  <c r="AD265"/>
  <c r="AD266"/>
  <c r="AD267"/>
  <c r="AD268"/>
  <c r="AD269"/>
  <c r="AD270"/>
  <c r="AD271"/>
  <c r="AD272"/>
  <c r="AD273"/>
  <c r="AD274"/>
  <c r="AD275"/>
  <c r="AD276"/>
  <c r="AD277"/>
  <c r="AD278"/>
  <c r="AD279"/>
  <c r="AD280"/>
  <c r="AD281"/>
  <c r="AD282"/>
  <c r="AD283"/>
  <c r="AD284"/>
  <c r="AD285"/>
  <c r="AD286"/>
  <c r="AD287"/>
  <c r="AD288"/>
  <c r="AD291"/>
  <c r="AD292"/>
  <c r="AD296"/>
  <c r="AD301"/>
  <c r="AD310"/>
  <c r="AD311"/>
  <c r="AD317"/>
  <c r="AD320"/>
  <c r="AD321"/>
  <c r="AD323"/>
  <c r="AD325"/>
  <c r="AD326"/>
  <c r="AD328"/>
  <c r="AD331"/>
  <c r="AD334"/>
  <c r="AD336"/>
  <c r="AD338"/>
  <c r="AD339"/>
  <c r="AD343"/>
  <c r="AD345"/>
  <c r="AD346"/>
  <c r="AD350"/>
  <c r="AD351"/>
  <c r="AD352"/>
  <c r="AD353"/>
  <c r="AD356"/>
  <c r="AD359"/>
  <c r="AD361"/>
  <c r="AD371"/>
  <c r="AD377"/>
  <c r="AD378"/>
  <c r="AD388"/>
  <c r="AD392"/>
  <c r="AD393"/>
  <c r="AD398"/>
  <c r="AD402"/>
  <c r="AD405"/>
  <c r="AD406"/>
  <c r="AD411"/>
  <c r="AD412"/>
  <c r="AD413"/>
  <c r="AD416"/>
  <c r="AD417"/>
  <c r="AD424"/>
  <c r="AD425"/>
  <c r="AD426"/>
  <c r="AD427"/>
  <c r="AD431"/>
  <c r="AD436"/>
  <c r="AD438"/>
  <c r="AD441"/>
  <c r="AD443"/>
  <c r="AD446"/>
  <c r="AD447"/>
  <c r="AD448"/>
  <c r="AD449"/>
  <c r="AD450"/>
  <c r="AD451"/>
  <c r="AD452"/>
  <c r="AD454"/>
  <c r="AD455"/>
  <c r="AD456"/>
  <c r="AD457"/>
  <c r="AD458"/>
  <c r="AD459"/>
  <c r="AD461"/>
  <c r="AD463"/>
  <c r="AD464"/>
  <c r="AD465"/>
  <c r="AD472"/>
  <c r="AD473"/>
  <c r="AD483"/>
  <c r="AD484"/>
  <c r="AD485"/>
  <c r="AD495"/>
  <c r="AD499"/>
  <c r="AD512"/>
  <c r="AD514"/>
  <c r="AD515"/>
  <c r="AD517"/>
  <c r="AD518"/>
  <c r="AD520"/>
  <c r="AD521"/>
  <c r="AD522"/>
  <c r="AD523"/>
  <c r="AD524"/>
  <c r="AD525"/>
  <c r="AD526"/>
  <c r="AD528"/>
  <c r="AD529"/>
  <c r="AD530"/>
  <c r="AD531"/>
  <c r="AD532"/>
  <c r="AD533"/>
  <c r="AD534"/>
  <c r="AD535"/>
  <c r="AD536"/>
  <c r="AD537"/>
  <c r="AD546"/>
  <c r="AD548"/>
  <c r="AD551"/>
  <c r="AD552"/>
  <c r="AD554"/>
  <c r="AD555"/>
  <c r="AD556"/>
  <c r="AD557"/>
  <c r="AD558"/>
  <c r="AD559"/>
  <c r="AD560"/>
  <c r="AD561"/>
  <c r="AD562"/>
  <c r="AD563"/>
  <c r="AD564"/>
  <c r="AD565"/>
  <c r="AD567"/>
  <c r="AD569"/>
  <c r="AD571"/>
  <c r="AD573"/>
  <c r="AD574"/>
  <c r="AD575"/>
  <c r="AD576"/>
  <c r="AD577"/>
  <c r="AD578"/>
  <c r="AD579"/>
  <c r="AD581"/>
  <c r="AD587"/>
  <c r="AD596"/>
  <c r="AD599"/>
  <c r="AD600"/>
  <c r="AD601"/>
  <c r="AD602"/>
  <c r="AD605"/>
  <c r="AD606"/>
  <c r="AD607"/>
  <c r="AD608"/>
  <c r="AD609"/>
  <c r="AD610"/>
  <c r="AD612"/>
  <c r="AD613"/>
  <c r="AD614"/>
  <c r="AD616"/>
  <c r="AD617"/>
  <c r="AD618"/>
  <c r="AE483"/>
  <c r="AF483"/>
  <c r="AG483"/>
  <c r="AH483"/>
  <c r="AI483"/>
  <c r="AE69"/>
  <c r="AI69"/>
  <c r="AK483" l="1"/>
  <c r="AJ483"/>
  <c r="AH298"/>
  <c r="AI298"/>
  <c r="AF244"/>
  <c r="AG244"/>
  <c r="AH244"/>
  <c r="AI244"/>
  <c r="AG547"/>
  <c r="AL483" l="1"/>
  <c r="AK298"/>
  <c r="AK244"/>
  <c r="AE33" l="1"/>
  <c r="AF33"/>
  <c r="AG33"/>
  <c r="AH33"/>
  <c r="AI33"/>
  <c r="AE34"/>
  <c r="AF34"/>
  <c r="AG34"/>
  <c r="AH34"/>
  <c r="AI34"/>
  <c r="AE35"/>
  <c r="AF35"/>
  <c r="AG35"/>
  <c r="AH35"/>
  <c r="AI35"/>
  <c r="AE36"/>
  <c r="AF36"/>
  <c r="AG36"/>
  <c r="AH36"/>
  <c r="AI36"/>
  <c r="AE37"/>
  <c r="AF37"/>
  <c r="AG37"/>
  <c r="AH37"/>
  <c r="AI37"/>
  <c r="AK37" l="1"/>
  <c r="AK35"/>
  <c r="AK33"/>
  <c r="AK36"/>
  <c r="AK34"/>
  <c r="AJ37"/>
  <c r="AJ36"/>
  <c r="AJ35"/>
  <c r="AJ34"/>
  <c r="AL34" s="1"/>
  <c r="AJ33"/>
  <c r="AL33" l="1"/>
  <c r="AL36"/>
  <c r="AL37"/>
  <c r="AL35"/>
  <c r="O410" l="1"/>
  <c r="AH578"/>
  <c r="AK578" s="1"/>
  <c r="AI578"/>
  <c r="AE5" l="1"/>
  <c r="AF5"/>
  <c r="AG5"/>
  <c r="AH5"/>
  <c r="AI5"/>
  <c r="AI6"/>
  <c r="U410"/>
  <c r="U569"/>
  <c r="T569"/>
  <c r="S570"/>
  <c r="R570"/>
  <c r="AJ5" l="1"/>
  <c r="AK5"/>
  <c r="AE571"/>
  <c r="AF571"/>
  <c r="AG571"/>
  <c r="AH571"/>
  <c r="AI571"/>
  <c r="AG572"/>
  <c r="AH572"/>
  <c r="AI572"/>
  <c r="AE573"/>
  <c r="AF573"/>
  <c r="AG573"/>
  <c r="AI573"/>
  <c r="AI574"/>
  <c r="AE575"/>
  <c r="AH575"/>
  <c r="AI575"/>
  <c r="AG576"/>
  <c r="AH576"/>
  <c r="AI576"/>
  <c r="AF577"/>
  <c r="AG577"/>
  <c r="AH577"/>
  <c r="AI577"/>
  <c r="AE122"/>
  <c r="AF122"/>
  <c r="AG122"/>
  <c r="AH122"/>
  <c r="AI122"/>
  <c r="AE107"/>
  <c r="AF107"/>
  <c r="AG107"/>
  <c r="AH107"/>
  <c r="AI107"/>
  <c r="AE108"/>
  <c r="AF108"/>
  <c r="AG108"/>
  <c r="AH108"/>
  <c r="AI108"/>
  <c r="AE109"/>
  <c r="AF109"/>
  <c r="AG109"/>
  <c r="AH109"/>
  <c r="AI109"/>
  <c r="AE110"/>
  <c r="AF110"/>
  <c r="AG110"/>
  <c r="AH110"/>
  <c r="AI110"/>
  <c r="AL5" l="1"/>
  <c r="AK571"/>
  <c r="AK575"/>
  <c r="AJ109"/>
  <c r="AK110"/>
  <c r="AK108"/>
  <c r="AK576"/>
  <c r="AK577"/>
  <c r="AK572"/>
  <c r="AJ573"/>
  <c r="AJ571"/>
  <c r="AK107"/>
  <c r="AJ107"/>
  <c r="AJ110"/>
  <c r="AJ108"/>
  <c r="AK109"/>
  <c r="AK122"/>
  <c r="AJ122"/>
  <c r="AL108" l="1"/>
  <c r="AL571"/>
  <c r="AL110"/>
  <c r="AL109"/>
  <c r="AL107"/>
  <c r="AL122"/>
  <c r="O9" l="1"/>
  <c r="O263"/>
  <c r="O264"/>
  <c r="O265"/>
  <c r="O266"/>
  <c r="O267"/>
  <c r="O268"/>
  <c r="O262"/>
  <c r="O261"/>
  <c r="AE564" l="1"/>
  <c r="AF564"/>
  <c r="AG564"/>
  <c r="AH564"/>
  <c r="AI564"/>
  <c r="AE557"/>
  <c r="AF557"/>
  <c r="AG557"/>
  <c r="AH557"/>
  <c r="AI557"/>
  <c r="O564"/>
  <c r="P563"/>
  <c r="P562"/>
  <c r="P561"/>
  <c r="P560"/>
  <c r="P559"/>
  <c r="P558"/>
  <c r="P557"/>
  <c r="P556"/>
  <c r="P555"/>
  <c r="AE546"/>
  <c r="AH546"/>
  <c r="AI546"/>
  <c r="T554"/>
  <c r="S566"/>
  <c r="R566"/>
  <c r="AJ564" l="1"/>
  <c r="AK564"/>
  <c r="AK557"/>
  <c r="AK546"/>
  <c r="AJ557"/>
  <c r="AL557" s="1"/>
  <c r="AL564" l="1"/>
  <c r="AG392" l="1"/>
  <c r="AH392"/>
  <c r="AI392"/>
  <c r="AH242"/>
  <c r="AI242"/>
  <c r="AH243"/>
  <c r="AI243"/>
  <c r="AI245"/>
  <c r="AI246"/>
  <c r="AK242" l="1"/>
  <c r="AK392"/>
  <c r="AK243"/>
  <c r="AC648" l="1"/>
  <c r="AE32"/>
  <c r="AF32"/>
  <c r="AG32"/>
  <c r="AH32"/>
  <c r="AI32"/>
  <c r="AE68"/>
  <c r="AI68"/>
  <c r="O569"/>
  <c r="AG399"/>
  <c r="AH399"/>
  <c r="AI399"/>
  <c r="AI400"/>
  <c r="AF401"/>
  <c r="AG401"/>
  <c r="AH401"/>
  <c r="AI401"/>
  <c r="AE402"/>
  <c r="AI402"/>
  <c r="AF404"/>
  <c r="AG404"/>
  <c r="AH404"/>
  <c r="AI404"/>
  <c r="AE405"/>
  <c r="AI405"/>
  <c r="AG406"/>
  <c r="AH406"/>
  <c r="AI406"/>
  <c r="AF407"/>
  <c r="AG407"/>
  <c r="AH407"/>
  <c r="AI407"/>
  <c r="AE412"/>
  <c r="AF412"/>
  <c r="AG412"/>
  <c r="AH412"/>
  <c r="AF413"/>
  <c r="AG413"/>
  <c r="AH415"/>
  <c r="AI415"/>
  <c r="AE416"/>
  <c r="AF416"/>
  <c r="AG416"/>
  <c r="AG418"/>
  <c r="AH418"/>
  <c r="AI418"/>
  <c r="AI419"/>
  <c r="AI420"/>
  <c r="AI421"/>
  <c r="AI422"/>
  <c r="AI427"/>
  <c r="AI428"/>
  <c r="AI439"/>
  <c r="AI441"/>
  <c r="AI442"/>
  <c r="AG445"/>
  <c r="AH445"/>
  <c r="AI445"/>
  <c r="AI446"/>
  <c r="AG447"/>
  <c r="AH447"/>
  <c r="AI447"/>
  <c r="AE448"/>
  <c r="AF448"/>
  <c r="AG448"/>
  <c r="AH448"/>
  <c r="AI448"/>
  <c r="AG449"/>
  <c r="AH449"/>
  <c r="AI449"/>
  <c r="AI450"/>
  <c r="AI451"/>
  <c r="AG452"/>
  <c r="AH452"/>
  <c r="AI452"/>
  <c r="AI453"/>
  <c r="AI454"/>
  <c r="AI455"/>
  <c r="AI456"/>
  <c r="AI457"/>
  <c r="AI458"/>
  <c r="AI459"/>
  <c r="AH460"/>
  <c r="AI460"/>
  <c r="AI461"/>
  <c r="AI462"/>
  <c r="AI463"/>
  <c r="AI464"/>
  <c r="AI465"/>
  <c r="AI466"/>
  <c r="AI467"/>
  <c r="AI468"/>
  <c r="AH469"/>
  <c r="AI469"/>
  <c r="AH470"/>
  <c r="AI470"/>
  <c r="AG471"/>
  <c r="AH471"/>
  <c r="AI471"/>
  <c r="AI472"/>
  <c r="AI473"/>
  <c r="AI474"/>
  <c r="AF475"/>
  <c r="AG475"/>
  <c r="AH475"/>
  <c r="AI475"/>
  <c r="AI476"/>
  <c r="AF477"/>
  <c r="AG477"/>
  <c r="AH477"/>
  <c r="AI477"/>
  <c r="AF478"/>
  <c r="AG478"/>
  <c r="AH478"/>
  <c r="AI478"/>
  <c r="AI479"/>
  <c r="AI480"/>
  <c r="AG481"/>
  <c r="AH481"/>
  <c r="AI481"/>
  <c r="AI482"/>
  <c r="AE484"/>
  <c r="AF484"/>
  <c r="AG484"/>
  <c r="AH484"/>
  <c r="AI484"/>
  <c r="AE485"/>
  <c r="AF485"/>
  <c r="AG485"/>
  <c r="AH485"/>
  <c r="AI485"/>
  <c r="AG486"/>
  <c r="AH486"/>
  <c r="AI486"/>
  <c r="AG487"/>
  <c r="AH487"/>
  <c r="AI487"/>
  <c r="AI488"/>
  <c r="AH489"/>
  <c r="AI489"/>
  <c r="AI490"/>
  <c r="AI491"/>
  <c r="AH492"/>
  <c r="AI492"/>
  <c r="AI493"/>
  <c r="AI494"/>
  <c r="AE495"/>
  <c r="AH495"/>
  <c r="AI495"/>
  <c r="AI496"/>
  <c r="AI497"/>
  <c r="AI498"/>
  <c r="AE499"/>
  <c r="AF499"/>
  <c r="AG499"/>
  <c r="AH499"/>
  <c r="AI499"/>
  <c r="AH500"/>
  <c r="AI500"/>
  <c r="AG501"/>
  <c r="AH501"/>
  <c r="AI501"/>
  <c r="AI502"/>
  <c r="AH503"/>
  <c r="AI503"/>
  <c r="AH504"/>
  <c r="AI504"/>
  <c r="AH505"/>
  <c r="AI505"/>
  <c r="AH506"/>
  <c r="AI506"/>
  <c r="AG507"/>
  <c r="AH507"/>
  <c r="AI507"/>
  <c r="AF508"/>
  <c r="AG508"/>
  <c r="AH508"/>
  <c r="AI508"/>
  <c r="AH510"/>
  <c r="AI510"/>
  <c r="AI511"/>
  <c r="AG512"/>
  <c r="AH512"/>
  <c r="AI512"/>
  <c r="AI513"/>
  <c r="AH514"/>
  <c r="AI514"/>
  <c r="AH515"/>
  <c r="AI515"/>
  <c r="AI516"/>
  <c r="AE517"/>
  <c r="AF517"/>
  <c r="AG518"/>
  <c r="AH518"/>
  <c r="AI518"/>
  <c r="AI519"/>
  <c r="AE520"/>
  <c r="AF520"/>
  <c r="AE522"/>
  <c r="AF522"/>
  <c r="AG523"/>
  <c r="AH523"/>
  <c r="AI523"/>
  <c r="AE524"/>
  <c r="AF524"/>
  <c r="AG524"/>
  <c r="AH524"/>
  <c r="AI524"/>
  <c r="AG525"/>
  <c r="AH525"/>
  <c r="AI525"/>
  <c r="AE526"/>
  <c r="AF526"/>
  <c r="AG526"/>
  <c r="AH526"/>
  <c r="AI526"/>
  <c r="AI527"/>
  <c r="AE528"/>
  <c r="AF528"/>
  <c r="AG528"/>
  <c r="AH528"/>
  <c r="AI528"/>
  <c r="AE529"/>
  <c r="AF529"/>
  <c r="AG529"/>
  <c r="AH529"/>
  <c r="AI529"/>
  <c r="AE530"/>
  <c r="AF530"/>
  <c r="AG530"/>
  <c r="AH530"/>
  <c r="AI530"/>
  <c r="AE531"/>
  <c r="AF531"/>
  <c r="AG531"/>
  <c r="AH531"/>
  <c r="AI531"/>
  <c r="AE532"/>
  <c r="AF532"/>
  <c r="AG532"/>
  <c r="AH532"/>
  <c r="AI532"/>
  <c r="AE533"/>
  <c r="AF533"/>
  <c r="AG533"/>
  <c r="AH533"/>
  <c r="AI533"/>
  <c r="AI534"/>
  <c r="AG535"/>
  <c r="AH535"/>
  <c r="AI535"/>
  <c r="AI536"/>
  <c r="AG538"/>
  <c r="AH538"/>
  <c r="AI538"/>
  <c r="AJ32" l="1"/>
  <c r="AK32"/>
  <c r="AK418"/>
  <c r="AK399"/>
  <c r="AK407"/>
  <c r="AK406"/>
  <c r="AK514"/>
  <c r="AK510"/>
  <c r="AK508"/>
  <c r="AK506"/>
  <c r="AK504"/>
  <c r="AK500"/>
  <c r="AK492"/>
  <c r="AK486"/>
  <c r="AK484"/>
  <c r="AK481"/>
  <c r="AK477"/>
  <c r="AK475"/>
  <c r="AK470"/>
  <c r="AK460"/>
  <c r="AK452"/>
  <c r="AK448"/>
  <c r="AK518"/>
  <c r="AK535"/>
  <c r="AK533"/>
  <c r="AJ533"/>
  <c r="AK531"/>
  <c r="AJ531"/>
  <c r="AK529"/>
  <c r="AJ529"/>
  <c r="AK524"/>
  <c r="AK515"/>
  <c r="AK499"/>
  <c r="AK495"/>
  <c r="AK489"/>
  <c r="AK487"/>
  <c r="AK401"/>
  <c r="AK469"/>
  <c r="AK512"/>
  <c r="AK404"/>
  <c r="AK538"/>
  <c r="AK507"/>
  <c r="AK505"/>
  <c r="AK503"/>
  <c r="AK501"/>
  <c r="AK485"/>
  <c r="AK478"/>
  <c r="AK471"/>
  <c r="AK449"/>
  <c r="AK447"/>
  <c r="AK445"/>
  <c r="AK415"/>
  <c r="AK532"/>
  <c r="AJ532"/>
  <c r="AK530"/>
  <c r="AJ530"/>
  <c r="AK528"/>
  <c r="AJ528"/>
  <c r="AK526"/>
  <c r="AJ526"/>
  <c r="AK525"/>
  <c r="AK523"/>
  <c r="AJ499"/>
  <c r="AJ485"/>
  <c r="AJ484"/>
  <c r="AJ448"/>
  <c r="AJ416"/>
  <c r="AJ412"/>
  <c r="AJ524"/>
  <c r="AI71"/>
  <c r="AI72"/>
  <c r="AI73"/>
  <c r="AI74"/>
  <c r="AI75"/>
  <c r="AH71"/>
  <c r="AH72"/>
  <c r="AH73"/>
  <c r="AH74"/>
  <c r="AH75"/>
  <c r="AG71"/>
  <c r="AG72"/>
  <c r="AG73"/>
  <c r="AG74"/>
  <c r="AG75"/>
  <c r="AF71"/>
  <c r="AF72"/>
  <c r="AF73"/>
  <c r="AF74"/>
  <c r="AF75"/>
  <c r="AE71"/>
  <c r="AE72"/>
  <c r="AE73"/>
  <c r="AE74"/>
  <c r="AE75"/>
  <c r="AI3"/>
  <c r="AI4"/>
  <c r="AI7"/>
  <c r="AI8"/>
  <c r="AI10"/>
  <c r="AI11"/>
  <c r="AI12"/>
  <c r="AI13"/>
  <c r="AI14"/>
  <c r="AI15"/>
  <c r="AI16"/>
  <c r="AI17"/>
  <c r="AI18"/>
  <c r="AI19"/>
  <c r="AI20"/>
  <c r="AI21"/>
  <c r="AI22"/>
  <c r="AI23"/>
  <c r="AI24"/>
  <c r="AI25"/>
  <c r="AI26"/>
  <c r="AI27"/>
  <c r="AI28"/>
  <c r="AI29"/>
  <c r="AI30"/>
  <c r="AI31"/>
  <c r="AI38"/>
  <c r="AI39"/>
  <c r="AI41"/>
  <c r="AI42"/>
  <c r="AI43"/>
  <c r="AI44"/>
  <c r="AI45"/>
  <c r="AI46"/>
  <c r="AI47"/>
  <c r="AI48"/>
  <c r="AI49"/>
  <c r="AI50"/>
  <c r="AI51"/>
  <c r="AI52"/>
  <c r="AI53"/>
  <c r="AI54"/>
  <c r="AI55"/>
  <c r="AI56"/>
  <c r="AI57"/>
  <c r="AI58"/>
  <c r="AI59"/>
  <c r="AI60"/>
  <c r="AI61"/>
  <c r="AI62"/>
  <c r="AI63"/>
  <c r="AI64"/>
  <c r="AI65"/>
  <c r="AI66"/>
  <c r="AI67"/>
  <c r="AI70"/>
  <c r="AI77"/>
  <c r="AI78"/>
  <c r="AI79"/>
  <c r="AI80"/>
  <c r="AI81"/>
  <c r="AI82"/>
  <c r="AI85"/>
  <c r="AI86"/>
  <c r="AI87"/>
  <c r="AI89"/>
  <c r="AI90"/>
  <c r="AI92"/>
  <c r="AI93"/>
  <c r="AI94"/>
  <c r="AI95"/>
  <c r="AI96"/>
  <c r="AI97"/>
  <c r="AI98"/>
  <c r="AI99"/>
  <c r="AI100"/>
  <c r="AI101"/>
  <c r="AI102"/>
  <c r="AI103"/>
  <c r="AI104"/>
  <c r="AI105"/>
  <c r="AI106"/>
  <c r="AI113"/>
  <c r="AI114"/>
  <c r="AI115"/>
  <c r="AI116"/>
  <c r="AI117"/>
  <c r="AI118"/>
  <c r="AI119"/>
  <c r="AI120"/>
  <c r="AI121"/>
  <c r="AI126"/>
  <c r="AI127"/>
  <c r="AI128"/>
  <c r="AI129"/>
  <c r="AI130"/>
  <c r="AI131"/>
  <c r="AI132"/>
  <c r="AI133"/>
  <c r="AI134"/>
  <c r="AI135"/>
  <c r="AI136"/>
  <c r="AI137"/>
  <c r="AI138"/>
  <c r="AI139"/>
  <c r="AI140"/>
  <c r="AI141"/>
  <c r="AI142"/>
  <c r="AI143"/>
  <c r="AI144"/>
  <c r="AI145"/>
  <c r="AI146"/>
  <c r="AI147"/>
  <c r="AI148"/>
  <c r="AI149"/>
  <c r="AI150"/>
  <c r="AI151"/>
  <c r="AI152"/>
  <c r="AI153"/>
  <c r="AI154"/>
  <c r="AI155"/>
  <c r="AI156"/>
  <c r="AI157"/>
  <c r="AI158"/>
  <c r="AI159"/>
  <c r="AI160"/>
  <c r="AI161"/>
  <c r="AI162"/>
  <c r="AI163"/>
  <c r="AI164"/>
  <c r="AI165"/>
  <c r="AI166"/>
  <c r="AI167"/>
  <c r="AI168"/>
  <c r="AI169"/>
  <c r="AI170"/>
  <c r="AI171"/>
  <c r="AI172"/>
  <c r="AI173"/>
  <c r="AI176"/>
  <c r="AI177"/>
  <c r="AI178"/>
  <c r="AI179"/>
  <c r="AI180"/>
  <c r="AI181"/>
  <c r="AI182"/>
  <c r="AI183"/>
  <c r="AI184"/>
  <c r="AI185"/>
  <c r="AI186"/>
  <c r="AI187"/>
  <c r="AI188"/>
  <c r="AI189"/>
  <c r="AI190"/>
  <c r="AI191"/>
  <c r="AI192"/>
  <c r="AI193"/>
  <c r="AI194"/>
  <c r="AI195"/>
  <c r="AI196"/>
  <c r="AI197"/>
  <c r="AI198"/>
  <c r="AI199"/>
  <c r="AI200"/>
  <c r="AI201"/>
  <c r="AI202"/>
  <c r="AI203"/>
  <c r="AI204"/>
  <c r="AI205"/>
  <c r="AI206"/>
  <c r="AI207"/>
  <c r="AI208"/>
  <c r="AI209"/>
  <c r="AI210"/>
  <c r="AI211"/>
  <c r="AI212"/>
  <c r="AI213"/>
  <c r="AI214"/>
  <c r="AI215"/>
  <c r="AI216"/>
  <c r="AI217"/>
  <c r="AI218"/>
  <c r="AI219"/>
  <c r="AI220"/>
  <c r="AI221"/>
  <c r="AI222"/>
  <c r="AI223"/>
  <c r="AI224"/>
  <c r="AI225"/>
  <c r="AI226"/>
  <c r="AI227"/>
  <c r="AI228"/>
  <c r="AI229"/>
  <c r="AI230"/>
  <c r="AI231"/>
  <c r="AI232"/>
  <c r="AI233"/>
  <c r="AI234"/>
  <c r="AI235"/>
  <c r="AI236"/>
  <c r="AI237"/>
  <c r="AI238"/>
  <c r="AI239"/>
  <c r="AI241"/>
  <c r="AI249"/>
  <c r="AI251"/>
  <c r="AI252"/>
  <c r="AI253"/>
  <c r="AI254"/>
  <c r="AI256"/>
  <c r="AI257"/>
  <c r="AI258"/>
  <c r="AI259"/>
  <c r="AI260"/>
  <c r="AI269"/>
  <c r="AI270"/>
  <c r="AI271"/>
  <c r="AI272"/>
  <c r="AI273"/>
  <c r="AI274"/>
  <c r="AI275"/>
  <c r="AI276"/>
  <c r="AI277"/>
  <c r="AI278"/>
  <c r="AI279"/>
  <c r="AI280"/>
  <c r="AI281"/>
  <c r="AI282"/>
  <c r="AI283"/>
  <c r="AI284"/>
  <c r="AI285"/>
  <c r="AI286"/>
  <c r="AI287"/>
  <c r="AI289"/>
  <c r="AI290"/>
  <c r="AI291"/>
  <c r="AI292"/>
  <c r="AI293"/>
  <c r="AI294"/>
  <c r="AI297"/>
  <c r="AI302"/>
  <c r="AI303"/>
  <c r="AI312"/>
  <c r="AI313"/>
  <c r="AI314"/>
  <c r="AI319"/>
  <c r="AI324"/>
  <c r="AI325"/>
  <c r="AI326"/>
  <c r="AI327"/>
  <c r="AI328"/>
  <c r="AI329"/>
  <c r="AI330"/>
  <c r="AI331"/>
  <c r="AI332"/>
  <c r="AI333"/>
  <c r="AI334"/>
  <c r="AI335"/>
  <c r="AI336"/>
  <c r="AI337"/>
  <c r="AI338"/>
  <c r="AI339"/>
  <c r="AI340"/>
  <c r="AI341"/>
  <c r="AI342"/>
  <c r="AI343"/>
  <c r="AI345"/>
  <c r="AI346"/>
  <c r="AI347"/>
  <c r="AI348"/>
  <c r="AI349"/>
  <c r="AI350"/>
  <c r="AI351"/>
  <c r="AI352"/>
  <c r="AI353"/>
  <c r="AI356"/>
  <c r="AI357"/>
  <c r="AI359"/>
  <c r="AI360"/>
  <c r="AI361"/>
  <c r="AI367"/>
  <c r="AI391"/>
  <c r="AI393"/>
  <c r="AI394"/>
  <c r="AI395"/>
  <c r="AI396"/>
  <c r="AI397"/>
  <c r="AI398"/>
  <c r="AI539"/>
  <c r="AI540"/>
  <c r="AI541"/>
  <c r="AI542"/>
  <c r="AI543"/>
  <c r="AI544"/>
  <c r="AI545"/>
  <c r="AI547"/>
  <c r="AI548"/>
  <c r="AI549"/>
  <c r="AI550"/>
  <c r="AI551"/>
  <c r="AI552"/>
  <c r="AI553"/>
  <c r="AI555"/>
  <c r="AI556"/>
  <c r="AI558"/>
  <c r="AI559"/>
  <c r="AI560"/>
  <c r="AI561"/>
  <c r="AI562"/>
  <c r="AI563"/>
  <c r="AI565"/>
  <c r="AI566"/>
  <c r="AI570"/>
  <c r="AI579"/>
  <c r="AI580"/>
  <c r="AI581"/>
  <c r="AI582"/>
  <c r="AI583"/>
  <c r="AI584"/>
  <c r="AI585"/>
  <c r="AI586"/>
  <c r="AI587"/>
  <c r="AI588"/>
  <c r="AI589"/>
  <c r="AI590"/>
  <c r="AI591"/>
  <c r="AI592"/>
  <c r="AI593"/>
  <c r="AI594"/>
  <c r="AI595"/>
  <c r="AI596"/>
  <c r="AI597"/>
  <c r="AI598"/>
  <c r="AI599"/>
  <c r="AI600"/>
  <c r="AI601"/>
  <c r="AI602"/>
  <c r="AI603"/>
  <c r="AI604"/>
  <c r="AI605"/>
  <c r="AI606"/>
  <c r="AI607"/>
  <c r="AI608"/>
  <c r="AI609"/>
  <c r="AI610"/>
  <c r="AI611"/>
  <c r="AI612"/>
  <c r="AI613"/>
  <c r="AI614"/>
  <c r="AI615"/>
  <c r="AI617"/>
  <c r="AI619"/>
  <c r="AI622"/>
  <c r="AI623"/>
  <c r="AI624"/>
  <c r="AI625"/>
  <c r="AI626"/>
  <c r="AI627"/>
  <c r="AI632"/>
  <c r="AI633"/>
  <c r="AI643"/>
  <c r="AI644"/>
  <c r="AI645"/>
  <c r="AI2"/>
  <c r="AL448" l="1"/>
  <c r="AL484"/>
  <c r="AL526"/>
  <c r="AL531"/>
  <c r="AL32"/>
  <c r="AL530"/>
  <c r="AL485"/>
  <c r="AL528"/>
  <c r="AL532"/>
  <c r="AJ75"/>
  <c r="AJ73"/>
  <c r="AJ71"/>
  <c r="AK75"/>
  <c r="AK73"/>
  <c r="AK71"/>
  <c r="AL529"/>
  <c r="AL533"/>
  <c r="AL524"/>
  <c r="AL499"/>
  <c r="AJ74"/>
  <c r="AJ72"/>
  <c r="AK74"/>
  <c r="AK72"/>
  <c r="AL73" l="1"/>
  <c r="AL71"/>
  <c r="AL75"/>
  <c r="AL74"/>
  <c r="AL72"/>
  <c r="AE30" l="1"/>
  <c r="AF30"/>
  <c r="AG30"/>
  <c r="AH30"/>
  <c r="AE31"/>
  <c r="AF31"/>
  <c r="AG31"/>
  <c r="AH31"/>
  <c r="AJ31" l="1"/>
  <c r="AJ30"/>
  <c r="AK31"/>
  <c r="AK30"/>
  <c r="AL31" l="1"/>
  <c r="AL30"/>
  <c r="AH645" l="1"/>
  <c r="AH644"/>
  <c r="AH643"/>
  <c r="AH627"/>
  <c r="AH623"/>
  <c r="AH622"/>
  <c r="AH613"/>
  <c r="AH611"/>
  <c r="AH610"/>
  <c r="AH609"/>
  <c r="AH608"/>
  <c r="AH607"/>
  <c r="AH606"/>
  <c r="AH605"/>
  <c r="AH604"/>
  <c r="AH603"/>
  <c r="AH601"/>
  <c r="AH600"/>
  <c r="AH599"/>
  <c r="AH598"/>
  <c r="AH597"/>
  <c r="AH596"/>
  <c r="AH595"/>
  <c r="AH594"/>
  <c r="AH593"/>
  <c r="AH592"/>
  <c r="AH591"/>
  <c r="AH590"/>
  <c r="AH589"/>
  <c r="AH588"/>
  <c r="AH585"/>
  <c r="AH584"/>
  <c r="AH583"/>
  <c r="AH582"/>
  <c r="AH580"/>
  <c r="AH579"/>
  <c r="AH570"/>
  <c r="AH566"/>
  <c r="AH563"/>
  <c r="AH561"/>
  <c r="AH560"/>
  <c r="AH559"/>
  <c r="AH558"/>
  <c r="AH556"/>
  <c r="AH555"/>
  <c r="AH553"/>
  <c r="AH552"/>
  <c r="AH551"/>
  <c r="AH550"/>
  <c r="AH549"/>
  <c r="AH548"/>
  <c r="AH547"/>
  <c r="AH545"/>
  <c r="AH542"/>
  <c r="AH541"/>
  <c r="AH540"/>
  <c r="AH539"/>
  <c r="AH397"/>
  <c r="AH396"/>
  <c r="AH391"/>
  <c r="AH361"/>
  <c r="AH360"/>
  <c r="AH359"/>
  <c r="AH357"/>
  <c r="AH353"/>
  <c r="AH350"/>
  <c r="AH349"/>
  <c r="AH348"/>
  <c r="AH347"/>
  <c r="AH346"/>
  <c r="AH345"/>
  <c r="AH343"/>
  <c r="AH339"/>
  <c r="AH338"/>
  <c r="AH337"/>
  <c r="AH336"/>
  <c r="AH335"/>
  <c r="AH334"/>
  <c r="AH333"/>
  <c r="AH331"/>
  <c r="AH329"/>
  <c r="AH327"/>
  <c r="AH326"/>
  <c r="AH324"/>
  <c r="AH302"/>
  <c r="AH297"/>
  <c r="AH294"/>
  <c r="AH293"/>
  <c r="AH292"/>
  <c r="AH287"/>
  <c r="AH286"/>
  <c r="AH285"/>
  <c r="AH284"/>
  <c r="AH283"/>
  <c r="AH282"/>
  <c r="AH281"/>
  <c r="AH280"/>
  <c r="AH279"/>
  <c r="AH278"/>
  <c r="AH277"/>
  <c r="AH276"/>
  <c r="AH275"/>
  <c r="AH274"/>
  <c r="AH273"/>
  <c r="AH272"/>
  <c r="AH271"/>
  <c r="AH270"/>
  <c r="AH269"/>
  <c r="AH260"/>
  <c r="AH253"/>
  <c r="AH241"/>
  <c r="AH234"/>
  <c r="AH233"/>
  <c r="AH232"/>
  <c r="AH231"/>
  <c r="AH230"/>
  <c r="AH229"/>
  <c r="AH228"/>
  <c r="AH227"/>
  <c r="AH226"/>
  <c r="AH225"/>
  <c r="AH224"/>
  <c r="AH223"/>
  <c r="AH222"/>
  <c r="AH221"/>
  <c r="AH220"/>
  <c r="AH219"/>
  <c r="AH218"/>
  <c r="AH217"/>
  <c r="AH216"/>
  <c r="AH215"/>
  <c r="AH214"/>
  <c r="AH213"/>
  <c r="AH212"/>
  <c r="AH211"/>
  <c r="AH210"/>
  <c r="AH209"/>
  <c r="AH208"/>
  <c r="AH207"/>
  <c r="AH206"/>
  <c r="AH205"/>
  <c r="AH204"/>
  <c r="AH203"/>
  <c r="AH202"/>
  <c r="AH201"/>
  <c r="AH200"/>
  <c r="AH199"/>
  <c r="AH198"/>
  <c r="AH197"/>
  <c r="AH196"/>
  <c r="AH195"/>
  <c r="AH194"/>
  <c r="AH193"/>
  <c r="AH192"/>
  <c r="AH191"/>
  <c r="AH190"/>
  <c r="AH189"/>
  <c r="AH188"/>
  <c r="AH187"/>
  <c r="AH186"/>
  <c r="AH185"/>
  <c r="AH184"/>
  <c r="AH183"/>
  <c r="AH182"/>
  <c r="AH181"/>
  <c r="AH180"/>
  <c r="AH179"/>
  <c r="AH178"/>
  <c r="AH177"/>
  <c r="AH173"/>
  <c r="AH172"/>
  <c r="AH171"/>
  <c r="AH170"/>
  <c r="AH169"/>
  <c r="AH168"/>
  <c r="AH167"/>
  <c r="AH166"/>
  <c r="AH165"/>
  <c r="AH164"/>
  <c r="AH163"/>
  <c r="AH162"/>
  <c r="AH161"/>
  <c r="AH160"/>
  <c r="AH159"/>
  <c r="AH158"/>
  <c r="AH157"/>
  <c r="AH156"/>
  <c r="AH155"/>
  <c r="AH154"/>
  <c r="AH153"/>
  <c r="AH152"/>
  <c r="AH151"/>
  <c r="AH150"/>
  <c r="AH149"/>
  <c r="AH148"/>
  <c r="AH147"/>
  <c r="AH146"/>
  <c r="AH145"/>
  <c r="AH144"/>
  <c r="AH143"/>
  <c r="AH142"/>
  <c r="AH141"/>
  <c r="AH140"/>
  <c r="AH139"/>
  <c r="AH138"/>
  <c r="AH137"/>
  <c r="AH136"/>
  <c r="AH135"/>
  <c r="AH134"/>
  <c r="AH133"/>
  <c r="AH132"/>
  <c r="AH131"/>
  <c r="AH130"/>
  <c r="AH129"/>
  <c r="AH128"/>
  <c r="AH127"/>
  <c r="AH126"/>
  <c r="AH121"/>
  <c r="AH120"/>
  <c r="AH119"/>
  <c r="AH118"/>
  <c r="AH117"/>
  <c r="AH116"/>
  <c r="AH115"/>
  <c r="AH114"/>
  <c r="AH106"/>
  <c r="AH105"/>
  <c r="AH104"/>
  <c r="AH103"/>
  <c r="AH102"/>
  <c r="AH101"/>
  <c r="AH100"/>
  <c r="AH99"/>
  <c r="AH98"/>
  <c r="AH97"/>
  <c r="AH96"/>
  <c r="AH95"/>
  <c r="AH94"/>
  <c r="AH87"/>
  <c r="AH86"/>
  <c r="AH85"/>
  <c r="AH82"/>
  <c r="AH81"/>
  <c r="AH80"/>
  <c r="AH79"/>
  <c r="AH78"/>
  <c r="AH77"/>
  <c r="AH67"/>
  <c r="AH66"/>
  <c r="AH65"/>
  <c r="AH64"/>
  <c r="AH63"/>
  <c r="AH62"/>
  <c r="AH61"/>
  <c r="AH60"/>
  <c r="AH59"/>
  <c r="AH58"/>
  <c r="AH57"/>
  <c r="AH56"/>
  <c r="AH55"/>
  <c r="AH54"/>
  <c r="AH53"/>
  <c r="AH52"/>
  <c r="AH51"/>
  <c r="AH50"/>
  <c r="AH49"/>
  <c r="AH48"/>
  <c r="AH47"/>
  <c r="AH46"/>
  <c r="AH45"/>
  <c r="AH44"/>
  <c r="AH43"/>
  <c r="AH39"/>
  <c r="AH29"/>
  <c r="AH28"/>
  <c r="AH27"/>
  <c r="AH26"/>
  <c r="AH25"/>
  <c r="AH23"/>
  <c r="AH22"/>
  <c r="AH21"/>
  <c r="AH20"/>
  <c r="AH19"/>
  <c r="AH18"/>
  <c r="AH17"/>
  <c r="AH16"/>
  <c r="AH15"/>
  <c r="AH14"/>
  <c r="AH13"/>
  <c r="AH12"/>
  <c r="AH11"/>
  <c r="AH10"/>
  <c r="AH8"/>
  <c r="AH7"/>
  <c r="AH4"/>
  <c r="AH3"/>
  <c r="W8" i="11" l="1"/>
  <c r="X8" s="1"/>
  <c r="W7"/>
  <c r="Y6"/>
  <c r="X6"/>
  <c r="Y2" l="1"/>
  <c r="X2"/>
  <c r="W2"/>
  <c r="V2"/>
  <c r="U2"/>
  <c r="T2"/>
  <c r="S2"/>
  <c r="R2"/>
  <c r="Q2"/>
  <c r="P2"/>
  <c r="O2"/>
  <c r="N2"/>
  <c r="M2"/>
  <c r="L2"/>
  <c r="K2"/>
  <c r="J2"/>
  <c r="I2"/>
  <c r="H2"/>
  <c r="G2"/>
  <c r="F2"/>
  <c r="E2"/>
  <c r="D2"/>
  <c r="C2"/>
  <c r="B2"/>
  <c r="A2"/>
  <c r="AD3" i="6" l="1"/>
  <c r="AD7"/>
  <c r="AD11"/>
  <c r="AD13"/>
  <c r="AD15"/>
  <c r="AD17"/>
  <c r="AD19"/>
  <c r="AD21"/>
  <c r="AD23"/>
  <c r="AD25"/>
  <c r="AD125"/>
  <c r="AD235"/>
  <c r="AD237"/>
  <c r="AD239"/>
  <c r="AD241"/>
  <c r="AD249"/>
  <c r="AD251"/>
  <c r="AD253"/>
  <c r="AD255"/>
  <c r="AD257"/>
  <c r="AD259"/>
  <c r="AD289"/>
  <c r="AD293"/>
  <c r="AD295"/>
  <c r="AD297"/>
  <c r="AD299"/>
  <c r="AD303"/>
  <c r="AD305"/>
  <c r="AD307"/>
  <c r="AD309"/>
  <c r="AD313"/>
  <c r="AD315"/>
  <c r="AD319"/>
  <c r="AD327"/>
  <c r="AD329"/>
  <c r="AD333"/>
  <c r="AD335"/>
  <c r="AD337"/>
  <c r="AD341"/>
  <c r="AD347"/>
  <c r="AD349"/>
  <c r="AD355"/>
  <c r="AD357"/>
  <c r="AD363"/>
  <c r="AD365"/>
  <c r="AD367"/>
  <c r="AD369"/>
  <c r="AD373"/>
  <c r="AD375"/>
  <c r="AD379"/>
  <c r="AD381"/>
  <c r="AD383"/>
  <c r="AD385"/>
  <c r="AD387"/>
  <c r="AD389"/>
  <c r="AD391"/>
  <c r="AD395"/>
  <c r="AD397"/>
  <c r="AD399"/>
  <c r="AD401"/>
  <c r="AD403"/>
  <c r="AD407"/>
  <c r="AD409"/>
  <c r="AD415"/>
  <c r="AD419"/>
  <c r="AD421"/>
  <c r="AD423"/>
  <c r="AD429"/>
  <c r="AD433"/>
  <c r="AD435"/>
  <c r="AD437"/>
  <c r="AD439"/>
  <c r="AD445"/>
  <c r="AD453"/>
  <c r="AD467"/>
  <c r="AD469"/>
  <c r="AD471"/>
  <c r="AD475"/>
  <c r="AD477"/>
  <c r="AD479"/>
  <c r="AD481"/>
  <c r="AD487"/>
  <c r="AD489"/>
  <c r="AD491"/>
  <c r="AD493"/>
  <c r="AD497"/>
  <c r="AD501"/>
  <c r="AD503"/>
  <c r="AD505"/>
  <c r="AD507"/>
  <c r="AD509"/>
  <c r="AD511"/>
  <c r="AD513"/>
  <c r="AD519"/>
  <c r="AD527"/>
  <c r="AD539"/>
  <c r="AD541"/>
  <c r="AD543"/>
  <c r="AD545"/>
  <c r="AD547"/>
  <c r="AD549"/>
  <c r="AD553"/>
  <c r="AD583"/>
  <c r="AD585"/>
  <c r="AD589"/>
  <c r="AD591"/>
  <c r="AD593"/>
  <c r="AD595"/>
  <c r="AD597"/>
  <c r="AD603"/>
  <c r="AD611"/>
  <c r="AD615"/>
  <c r="AD619"/>
  <c r="AD621"/>
  <c r="AD623"/>
  <c r="AD625"/>
  <c r="AD627"/>
  <c r="AD629"/>
  <c r="AD631"/>
  <c r="AD633"/>
  <c r="AD635"/>
  <c r="AD637"/>
  <c r="AD639"/>
  <c r="AD641"/>
  <c r="AD643"/>
  <c r="AD647"/>
  <c r="AD6"/>
  <c r="AD8"/>
  <c r="AD10"/>
  <c r="AD12"/>
  <c r="AD14"/>
  <c r="AD16"/>
  <c r="AD18"/>
  <c r="AD20"/>
  <c r="AD22"/>
  <c r="AD126"/>
  <c r="AD176"/>
  <c r="AD236"/>
  <c r="AD238"/>
  <c r="AD240"/>
  <c r="AD252"/>
  <c r="AD254"/>
  <c r="AD256"/>
  <c r="AD258"/>
  <c r="AD260"/>
  <c r="AD290"/>
  <c r="AD294"/>
  <c r="AD298"/>
  <c r="AD300"/>
  <c r="AD302"/>
  <c r="AD304"/>
  <c r="AD306"/>
  <c r="AD308"/>
  <c r="AD312"/>
  <c r="AD314"/>
  <c r="AD316"/>
  <c r="AD318"/>
  <c r="AD322"/>
  <c r="AD324"/>
  <c r="AD330"/>
  <c r="AD332"/>
  <c r="AD340"/>
  <c r="AD342"/>
  <c r="AD344"/>
  <c r="AD348"/>
  <c r="AD354"/>
  <c r="AD358"/>
  <c r="AD360"/>
  <c r="AD362"/>
  <c r="AD364"/>
  <c r="AD366"/>
  <c r="AD368"/>
  <c r="AD370"/>
  <c r="AD372"/>
  <c r="AD374"/>
  <c r="AD376"/>
  <c r="AD380"/>
  <c r="AD382"/>
  <c r="AD384"/>
  <c r="AD386"/>
  <c r="AD390"/>
  <c r="AD394"/>
  <c r="AD396"/>
  <c r="AD400"/>
  <c r="AD404"/>
  <c r="AD408"/>
  <c r="AD410"/>
  <c r="AD414"/>
  <c r="AD418"/>
  <c r="AD420"/>
  <c r="AD422"/>
  <c r="AD428"/>
  <c r="AD430"/>
  <c r="AD432"/>
  <c r="AD434"/>
  <c r="AD440"/>
  <c r="AD442"/>
  <c r="AD444"/>
  <c r="AD460"/>
  <c r="AD462"/>
  <c r="AD466"/>
  <c r="AD468"/>
  <c r="AD470"/>
  <c r="AD474"/>
  <c r="AD476"/>
  <c r="AD478"/>
  <c r="AD480"/>
  <c r="AD482"/>
  <c r="AD486"/>
  <c r="AD488"/>
  <c r="AD490"/>
  <c r="AD492"/>
  <c r="AD494"/>
  <c r="AD496"/>
  <c r="AD498"/>
  <c r="AD500"/>
  <c r="AD502"/>
  <c r="AD504"/>
  <c r="AD506"/>
  <c r="AD508"/>
  <c r="AD510"/>
  <c r="AD516"/>
  <c r="AD538"/>
  <c r="AD540"/>
  <c r="AD542"/>
  <c r="AD544"/>
  <c r="AD550"/>
  <c r="AD566"/>
  <c r="AD568"/>
  <c r="AD570"/>
  <c r="AD572"/>
  <c r="AD580"/>
  <c r="AD582"/>
  <c r="AD584"/>
  <c r="AD586"/>
  <c r="AD588"/>
  <c r="AD590"/>
  <c r="AD592"/>
  <c r="AD594"/>
  <c r="AD598"/>
  <c r="AD604"/>
  <c r="AD620"/>
  <c r="AD622"/>
  <c r="AD624"/>
  <c r="AD626"/>
  <c r="AD628"/>
  <c r="AD630"/>
  <c r="AD632"/>
  <c r="AD634"/>
  <c r="AD636"/>
  <c r="AD638"/>
  <c r="AD640"/>
  <c r="AD642"/>
  <c r="AD644"/>
  <c r="AD646"/>
  <c r="AD645"/>
  <c r="AF406"/>
  <c r="AE406"/>
  <c r="AF69"/>
  <c r="AH69"/>
  <c r="AK69" s="1"/>
  <c r="AG69"/>
  <c r="AI88"/>
  <c r="AI250"/>
  <c r="AH88"/>
  <c r="AE298"/>
  <c r="AG298"/>
  <c r="AE244"/>
  <c r="AJ244" s="1"/>
  <c r="AL244" s="1"/>
  <c r="AF298"/>
  <c r="AF578"/>
  <c r="AE578"/>
  <c r="AG578"/>
  <c r="AF6"/>
  <c r="AG6"/>
  <c r="AE6"/>
  <c r="AF572"/>
  <c r="AE572"/>
  <c r="AE574"/>
  <c r="AG574"/>
  <c r="AF575"/>
  <c r="AE576"/>
  <c r="AF574"/>
  <c r="AG575"/>
  <c r="AF576"/>
  <c r="AE577"/>
  <c r="AJ577" s="1"/>
  <c r="AL577" s="1"/>
  <c r="AF68"/>
  <c r="AI40"/>
  <c r="AH93"/>
  <c r="AI261"/>
  <c r="AI263"/>
  <c r="AI265"/>
  <c r="AI267"/>
  <c r="AI9"/>
  <c r="AI262"/>
  <c r="AI264"/>
  <c r="AI266"/>
  <c r="AI268"/>
  <c r="AH9"/>
  <c r="AF392"/>
  <c r="AE392"/>
  <c r="AF546"/>
  <c r="AG546"/>
  <c r="AF242"/>
  <c r="AE243"/>
  <c r="AG243"/>
  <c r="AF245"/>
  <c r="AH245"/>
  <c r="AK245" s="1"/>
  <c r="AE246"/>
  <c r="AG246"/>
  <c r="AF247"/>
  <c r="AH247"/>
  <c r="AE248"/>
  <c r="AG248"/>
  <c r="AI248"/>
  <c r="AE242"/>
  <c r="AG242"/>
  <c r="AF243"/>
  <c r="AE245"/>
  <c r="AG245"/>
  <c r="AF246"/>
  <c r="AH246"/>
  <c r="AK246" s="1"/>
  <c r="AE247"/>
  <c r="AG247"/>
  <c r="AI247"/>
  <c r="AF248"/>
  <c r="AH248"/>
  <c r="AK248" s="1"/>
  <c r="AF411"/>
  <c r="AH411"/>
  <c r="AI412"/>
  <c r="AK412" s="1"/>
  <c r="AL412" s="1"/>
  <c r="AE413"/>
  <c r="AJ413" s="1"/>
  <c r="AF414"/>
  <c r="AE415"/>
  <c r="AG415"/>
  <c r="AF418"/>
  <c r="AE419"/>
  <c r="AE420"/>
  <c r="AE421"/>
  <c r="AF425"/>
  <c r="AE426"/>
  <c r="AF427"/>
  <c r="AE428"/>
  <c r="AE429"/>
  <c r="AE430"/>
  <c r="AF431"/>
  <c r="AF434"/>
  <c r="AF435"/>
  <c r="AF436"/>
  <c r="AE437"/>
  <c r="AE438"/>
  <c r="AG438"/>
  <c r="AG440"/>
  <c r="AG441"/>
  <c r="AF443"/>
  <c r="AF444"/>
  <c r="AE447"/>
  <c r="AG456"/>
  <c r="AE460"/>
  <c r="AH465"/>
  <c r="AK465" s="1"/>
  <c r="AF472"/>
  <c r="AH472"/>
  <c r="AK472" s="1"/>
  <c r="AE477"/>
  <c r="AF480"/>
  <c r="AH480"/>
  <c r="AK480" s="1"/>
  <c r="AE481"/>
  <c r="AE486"/>
  <c r="AF487"/>
  <c r="AE488"/>
  <c r="AG488"/>
  <c r="AF489"/>
  <c r="AE490"/>
  <c r="AG490"/>
  <c r="AE492"/>
  <c r="AG492"/>
  <c r="AF493"/>
  <c r="AE494"/>
  <c r="AG494"/>
  <c r="AF495"/>
  <c r="AE496"/>
  <c r="AG496"/>
  <c r="AF497"/>
  <c r="AE498"/>
  <c r="AG498"/>
  <c r="AE500"/>
  <c r="AG500"/>
  <c r="AF501"/>
  <c r="AE502"/>
  <c r="AG502"/>
  <c r="AF503"/>
  <c r="AE504"/>
  <c r="AG504"/>
  <c r="AF505"/>
  <c r="AE506"/>
  <c r="AG506"/>
  <c r="AF507"/>
  <c r="AE508"/>
  <c r="AF509"/>
  <c r="AG511"/>
  <c r="AE516"/>
  <c r="AG516"/>
  <c r="AE527"/>
  <c r="AG527"/>
  <c r="AG537"/>
  <c r="AE411"/>
  <c r="AG411"/>
  <c r="AE414"/>
  <c r="AG414"/>
  <c r="AF415"/>
  <c r="AE423"/>
  <c r="AG425"/>
  <c r="AG427"/>
  <c r="AG431"/>
  <c r="AG434"/>
  <c r="AG435"/>
  <c r="AG436"/>
  <c r="AF438"/>
  <c r="AE439"/>
  <c r="AF440"/>
  <c r="AF441"/>
  <c r="AG443"/>
  <c r="AG444"/>
  <c r="AF447"/>
  <c r="AH454"/>
  <c r="AK454" s="1"/>
  <c r="AH456"/>
  <c r="AK456" s="1"/>
  <c r="AH457"/>
  <c r="AK457" s="1"/>
  <c r="AH464"/>
  <c r="AK464" s="1"/>
  <c r="AG465"/>
  <c r="AH467"/>
  <c r="AK467" s="1"/>
  <c r="AH468"/>
  <c r="AK468" s="1"/>
  <c r="AG472"/>
  <c r="AH473"/>
  <c r="AK473" s="1"/>
  <c r="AE475"/>
  <c r="AE478"/>
  <c r="AE480"/>
  <c r="AG480"/>
  <c r="AF481"/>
  <c r="AF486"/>
  <c r="AE487"/>
  <c r="AF488"/>
  <c r="AE489"/>
  <c r="AG489"/>
  <c r="AF490"/>
  <c r="AF492"/>
  <c r="AE493"/>
  <c r="AG493"/>
  <c r="AF494"/>
  <c r="AG495"/>
  <c r="AF496"/>
  <c r="AE497"/>
  <c r="AG497"/>
  <c r="AF498"/>
  <c r="AF500"/>
  <c r="AE501"/>
  <c r="AF502"/>
  <c r="AE503"/>
  <c r="AG503"/>
  <c r="AF504"/>
  <c r="AE505"/>
  <c r="AG505"/>
  <c r="AF506"/>
  <c r="AE507"/>
  <c r="AJ508"/>
  <c r="AL508" s="1"/>
  <c r="AE509"/>
  <c r="AG510"/>
  <c r="AF516"/>
  <c r="AG519"/>
  <c r="AF527"/>
  <c r="AH586"/>
  <c r="AH614"/>
  <c r="AI111"/>
  <c r="AI112"/>
  <c r="AH68"/>
  <c r="AK68" s="1"/>
  <c r="AG68"/>
  <c r="AH38"/>
  <c r="AE399"/>
  <c r="AF400"/>
  <c r="AE401"/>
  <c r="AF402"/>
  <c r="AH402"/>
  <c r="AK402" s="1"/>
  <c r="AE403"/>
  <c r="AG403"/>
  <c r="AG405"/>
  <c r="AE408"/>
  <c r="AG408"/>
  <c r="AF409"/>
  <c r="AE410"/>
  <c r="AG410"/>
  <c r="AI410"/>
  <c r="AE417"/>
  <c r="AG417"/>
  <c r="AI417"/>
  <c r="AG419"/>
  <c r="AF420"/>
  <c r="AG421"/>
  <c r="AF422"/>
  <c r="AH422"/>
  <c r="AK422" s="1"/>
  <c r="AG423"/>
  <c r="AF424"/>
  <c r="AE425"/>
  <c r="AF426"/>
  <c r="AE427"/>
  <c r="AF428"/>
  <c r="AG429"/>
  <c r="AF430"/>
  <c r="AE431"/>
  <c r="AF432"/>
  <c r="AE433"/>
  <c r="AG433"/>
  <c r="AE435"/>
  <c r="AG437"/>
  <c r="AG439"/>
  <c r="AE441"/>
  <c r="AF442"/>
  <c r="AE443"/>
  <c r="AE445"/>
  <c r="AF446"/>
  <c r="AH446"/>
  <c r="AK446" s="1"/>
  <c r="AE449"/>
  <c r="AF450"/>
  <c r="AH450"/>
  <c r="AK450" s="1"/>
  <c r="AE451"/>
  <c r="AE453"/>
  <c r="AE455"/>
  <c r="AE457"/>
  <c r="AH458"/>
  <c r="AK458" s="1"/>
  <c r="AE459"/>
  <c r="AF460"/>
  <c r="AE461"/>
  <c r="AH462"/>
  <c r="AK462" s="1"/>
  <c r="AE463"/>
  <c r="AF464"/>
  <c r="AH466"/>
  <c r="AK466" s="1"/>
  <c r="AE467"/>
  <c r="AF468"/>
  <c r="AG469"/>
  <c r="AF470"/>
  <c r="AE474"/>
  <c r="AG476"/>
  <c r="AF479"/>
  <c r="AE482"/>
  <c r="AG491"/>
  <c r="AG509"/>
  <c r="AE511"/>
  <c r="AE513"/>
  <c r="AG515"/>
  <c r="AI517"/>
  <c r="AF518"/>
  <c r="AH520"/>
  <c r="AE521"/>
  <c r="AI521"/>
  <c r="AI522"/>
  <c r="AF523"/>
  <c r="AG534"/>
  <c r="AF535"/>
  <c r="AG536"/>
  <c r="AF537"/>
  <c r="AF399"/>
  <c r="AE400"/>
  <c r="AG400"/>
  <c r="AG402"/>
  <c r="AF403"/>
  <c r="AE404"/>
  <c r="AF405"/>
  <c r="AH405"/>
  <c r="AK405" s="1"/>
  <c r="AE407"/>
  <c r="AF408"/>
  <c r="AE409"/>
  <c r="AG409"/>
  <c r="AF410"/>
  <c r="AH410"/>
  <c r="AI411"/>
  <c r="AF417"/>
  <c r="AE418"/>
  <c r="AF419"/>
  <c r="AG420"/>
  <c r="AF421"/>
  <c r="AE422"/>
  <c r="AG422"/>
  <c r="AF423"/>
  <c r="AE424"/>
  <c r="AG424"/>
  <c r="AG426"/>
  <c r="AG428"/>
  <c r="AF429"/>
  <c r="AG430"/>
  <c r="AE432"/>
  <c r="AG432"/>
  <c r="AF433"/>
  <c r="AE434"/>
  <c r="AE436"/>
  <c r="AF437"/>
  <c r="AF439"/>
  <c r="AE440"/>
  <c r="AE442"/>
  <c r="AG442"/>
  <c r="AE444"/>
  <c r="AF445"/>
  <c r="AE446"/>
  <c r="AG446"/>
  <c r="AF449"/>
  <c r="AE450"/>
  <c r="AG450"/>
  <c r="AF451"/>
  <c r="AH451"/>
  <c r="AK451" s="1"/>
  <c r="AE452"/>
  <c r="AF453"/>
  <c r="AH453"/>
  <c r="AK453" s="1"/>
  <c r="AE454"/>
  <c r="AG454"/>
  <c r="AF455"/>
  <c r="AH455"/>
  <c r="AK455" s="1"/>
  <c r="AE456"/>
  <c r="AF457"/>
  <c r="AE458"/>
  <c r="AG458"/>
  <c r="AF459"/>
  <c r="AH459"/>
  <c r="AK459" s="1"/>
  <c r="AG460"/>
  <c r="AF461"/>
  <c r="AH461"/>
  <c r="AK461" s="1"/>
  <c r="AE462"/>
  <c r="AG462"/>
  <c r="AF463"/>
  <c r="AH463"/>
  <c r="AK463" s="1"/>
  <c r="AE464"/>
  <c r="AG464"/>
  <c r="AF465"/>
  <c r="AE466"/>
  <c r="AG466"/>
  <c r="AF467"/>
  <c r="AE468"/>
  <c r="AG468"/>
  <c r="AF469"/>
  <c r="AE470"/>
  <c r="AG470"/>
  <c r="AF471"/>
  <c r="AE472"/>
  <c r="AE473"/>
  <c r="AG473"/>
  <c r="AF474"/>
  <c r="AH474"/>
  <c r="AK474" s="1"/>
  <c r="AF476"/>
  <c r="AH476"/>
  <c r="AK476" s="1"/>
  <c r="AE479"/>
  <c r="AG479"/>
  <c r="AF482"/>
  <c r="AH482"/>
  <c r="AK482" s="1"/>
  <c r="AF491"/>
  <c r="AH491"/>
  <c r="AK491" s="1"/>
  <c r="AH509"/>
  <c r="AE510"/>
  <c r="AF511"/>
  <c r="AE512"/>
  <c r="AF513"/>
  <c r="AE514"/>
  <c r="AG514"/>
  <c r="AF515"/>
  <c r="AH517"/>
  <c r="AE518"/>
  <c r="AF519"/>
  <c r="AG520"/>
  <c r="AJ520" s="1"/>
  <c r="AI520"/>
  <c r="AF521"/>
  <c r="AH521"/>
  <c r="AH522"/>
  <c r="AE523"/>
  <c r="AE525"/>
  <c r="AF534"/>
  <c r="AH534"/>
  <c r="AK534" s="1"/>
  <c r="AE535"/>
  <c r="AF536"/>
  <c r="AH536"/>
  <c r="AK536" s="1"/>
  <c r="AE537"/>
  <c r="AF538"/>
  <c r="AG451"/>
  <c r="AF452"/>
  <c r="AG453"/>
  <c r="AF454"/>
  <c r="AG455"/>
  <c r="AF456"/>
  <c r="AG457"/>
  <c r="AF458"/>
  <c r="AG459"/>
  <c r="AG461"/>
  <c r="AF462"/>
  <c r="AG463"/>
  <c r="AE465"/>
  <c r="AF466"/>
  <c r="AG467"/>
  <c r="AE469"/>
  <c r="AE471"/>
  <c r="AF473"/>
  <c r="AG474"/>
  <c r="AE476"/>
  <c r="AH479"/>
  <c r="AK479" s="1"/>
  <c r="AG482"/>
  <c r="AE491"/>
  <c r="AI509"/>
  <c r="AF510"/>
  <c r="AF512"/>
  <c r="AG513"/>
  <c r="AF514"/>
  <c r="AE515"/>
  <c r="AG517"/>
  <c r="AJ517" s="1"/>
  <c r="AE519"/>
  <c r="AG521"/>
  <c r="AF525"/>
  <c r="AE534"/>
  <c r="AE536"/>
  <c r="AE538"/>
  <c r="AG522"/>
  <c r="AJ522" s="1"/>
  <c r="AI621"/>
  <c r="AI629"/>
  <c r="AI631"/>
  <c r="AI635"/>
  <c r="AI637"/>
  <c r="AI618"/>
  <c r="AI640"/>
  <c r="AI642"/>
  <c r="AI646"/>
  <c r="AI620"/>
  <c r="AI628"/>
  <c r="AI630"/>
  <c r="AI634"/>
  <c r="AI636"/>
  <c r="AI638"/>
  <c r="AI639"/>
  <c r="AI641"/>
  <c r="AI647"/>
  <c r="AH646"/>
  <c r="AH642"/>
  <c r="AH640"/>
  <c r="AH618"/>
  <c r="AH637"/>
  <c r="AH635"/>
  <c r="AH633"/>
  <c r="AH631"/>
  <c r="AH629"/>
  <c r="AH625"/>
  <c r="AH621"/>
  <c r="AH619"/>
  <c r="AH647"/>
  <c r="AH641"/>
  <c r="AH639"/>
  <c r="AH638"/>
  <c r="AH636"/>
  <c r="AH634"/>
  <c r="AH632"/>
  <c r="AH630"/>
  <c r="AH628"/>
  <c r="AH626"/>
  <c r="AH624"/>
  <c r="AH620"/>
  <c r="AH617"/>
  <c r="AH615"/>
  <c r="AI76"/>
  <c r="AI83"/>
  <c r="AI123"/>
  <c r="AI125"/>
  <c r="AI174"/>
  <c r="AI255"/>
  <c r="AI305"/>
  <c r="AI307"/>
  <c r="AI315"/>
  <c r="AI317"/>
  <c r="AI323"/>
  <c r="AI84"/>
  <c r="AI91"/>
  <c r="AI124"/>
  <c r="AI175"/>
  <c r="AI240"/>
  <c r="AI288"/>
  <c r="AI304"/>
  <c r="AI306"/>
  <c r="AI322"/>
  <c r="B17" i="11"/>
  <c r="AH543" i="6"/>
  <c r="AH308"/>
  <c r="AH304"/>
  <c r="AH291"/>
  <c r="AH259"/>
  <c r="AH255"/>
  <c r="AH251"/>
  <c r="AH250"/>
  <c r="AH239"/>
  <c r="AH237"/>
  <c r="AH235"/>
  <c r="AH176"/>
  <c r="AH174"/>
  <c r="AH125"/>
  <c r="AH123"/>
  <c r="AH112"/>
  <c r="AH92"/>
  <c r="AH90"/>
  <c r="AH83"/>
  <c r="AH76"/>
  <c r="AH42"/>
  <c r="AH40"/>
  <c r="AH544"/>
  <c r="AH267"/>
  <c r="AH265"/>
  <c r="AH263"/>
  <c r="AH261"/>
  <c r="AH252"/>
  <c r="AH249"/>
  <c r="AH238"/>
  <c r="AH175"/>
  <c r="AH113"/>
  <c r="AH91"/>
  <c r="AH84"/>
  <c r="AH70"/>
  <c r="AH41"/>
  <c r="AH24"/>
  <c r="AH562"/>
  <c r="AH307"/>
  <c r="AH268"/>
  <c r="AH266"/>
  <c r="AH264"/>
  <c r="AH262"/>
  <c r="AH254"/>
  <c r="AH240"/>
  <c r="AH236"/>
  <c r="AH124"/>
  <c r="AH111"/>
  <c r="AH89"/>
  <c r="AD648" l="1"/>
  <c r="AJ406"/>
  <c r="AL406" s="1"/>
  <c r="AJ535"/>
  <c r="AL535" s="1"/>
  <c r="AK517"/>
  <c r="AL517" s="1"/>
  <c r="AJ69"/>
  <c r="AL69" s="1"/>
  <c r="AJ298"/>
  <c r="AL298" s="1"/>
  <c r="AJ578"/>
  <c r="AL578" s="1"/>
  <c r="AJ6"/>
  <c r="AJ572"/>
  <c r="AL572" s="1"/>
  <c r="AJ536"/>
  <c r="AJ443"/>
  <c r="AJ427"/>
  <c r="AJ401"/>
  <c r="AL401" s="1"/>
  <c r="AK410"/>
  <c r="AJ576"/>
  <c r="AL576" s="1"/>
  <c r="AJ575"/>
  <c r="AL575" s="1"/>
  <c r="AJ574"/>
  <c r="AJ68"/>
  <c r="AL68" s="1"/>
  <c r="AJ392"/>
  <c r="AL392" s="1"/>
  <c r="AJ546"/>
  <c r="AL546" s="1"/>
  <c r="AK247"/>
  <c r="AJ247"/>
  <c r="AJ245"/>
  <c r="AL245" s="1"/>
  <c r="AJ242"/>
  <c r="AL242" s="1"/>
  <c r="AJ248"/>
  <c r="AL248" s="1"/>
  <c r="AJ246"/>
  <c r="AL246" s="1"/>
  <c r="AJ243"/>
  <c r="AL243" s="1"/>
  <c r="AJ537"/>
  <c r="AJ516"/>
  <c r="AJ439"/>
  <c r="AJ435"/>
  <c r="AJ425"/>
  <c r="AJ423"/>
  <c r="AK411"/>
  <c r="AJ509"/>
  <c r="AJ477"/>
  <c r="AL477" s="1"/>
  <c r="AJ515"/>
  <c r="AL515" s="1"/>
  <c r="AJ464"/>
  <c r="AL464" s="1"/>
  <c r="AK522"/>
  <c r="AL522" s="1"/>
  <c r="AJ437"/>
  <c r="AJ431"/>
  <c r="AJ419"/>
  <c r="AJ405"/>
  <c r="AL405" s="1"/>
  <c r="AJ438"/>
  <c r="AJ527"/>
  <c r="AJ506"/>
  <c r="AL506" s="1"/>
  <c r="AJ498"/>
  <c r="AJ492"/>
  <c r="AL492" s="1"/>
  <c r="AJ505"/>
  <c r="AL505" s="1"/>
  <c r="AJ501"/>
  <c r="AL501" s="1"/>
  <c r="AJ493"/>
  <c r="AJ489"/>
  <c r="AL489" s="1"/>
  <c r="AJ480"/>
  <c r="AL480" s="1"/>
  <c r="AJ414"/>
  <c r="AJ504"/>
  <c r="AL504" s="1"/>
  <c r="AJ502"/>
  <c r="AJ500"/>
  <c r="AL500" s="1"/>
  <c r="AJ496"/>
  <c r="AJ494"/>
  <c r="AJ490"/>
  <c r="AJ488"/>
  <c r="AJ486"/>
  <c r="AL486" s="1"/>
  <c r="AJ481"/>
  <c r="AL481" s="1"/>
  <c r="AJ415"/>
  <c r="AL415" s="1"/>
  <c r="AJ411"/>
  <c r="AJ507"/>
  <c r="AL507" s="1"/>
  <c r="AJ503"/>
  <c r="AL503" s="1"/>
  <c r="AJ497"/>
  <c r="AJ495"/>
  <c r="AL495" s="1"/>
  <c r="AJ487"/>
  <c r="AL487" s="1"/>
  <c r="AJ478"/>
  <c r="AL478" s="1"/>
  <c r="AJ475"/>
  <c r="AL475" s="1"/>
  <c r="AJ447"/>
  <c r="AL447" s="1"/>
  <c r="AJ534"/>
  <c r="AL534" s="1"/>
  <c r="AK521"/>
  <c r="AJ441"/>
  <c r="AJ429"/>
  <c r="AJ421"/>
  <c r="AJ523"/>
  <c r="AL523" s="1"/>
  <c r="AJ518"/>
  <c r="AL518" s="1"/>
  <c r="AJ479"/>
  <c r="AL479" s="1"/>
  <c r="AJ470"/>
  <c r="AL470" s="1"/>
  <c r="AJ468"/>
  <c r="AL468" s="1"/>
  <c r="AJ449"/>
  <c r="AL449" s="1"/>
  <c r="AJ424"/>
  <c r="AJ422"/>
  <c r="AL422" s="1"/>
  <c r="AJ417"/>
  <c r="AJ403"/>
  <c r="AJ538"/>
  <c r="AL538" s="1"/>
  <c r="AJ513"/>
  <c r="AJ491"/>
  <c r="AL491" s="1"/>
  <c r="AJ474"/>
  <c r="AL474" s="1"/>
  <c r="AJ469"/>
  <c r="AL469" s="1"/>
  <c r="AJ465"/>
  <c r="AL465" s="1"/>
  <c r="AJ463"/>
  <c r="AL463" s="1"/>
  <c r="AJ457"/>
  <c r="AL457" s="1"/>
  <c r="AJ451"/>
  <c r="AL451" s="1"/>
  <c r="AJ445"/>
  <c r="AL445" s="1"/>
  <c r="AJ433"/>
  <c r="AJ408"/>
  <c r="AJ399"/>
  <c r="AL399" s="1"/>
  <c r="AK520"/>
  <c r="AJ512"/>
  <c r="AL512" s="1"/>
  <c r="AJ510"/>
  <c r="AL510" s="1"/>
  <c r="AJ473"/>
  <c r="AL473" s="1"/>
  <c r="AJ472"/>
  <c r="AL472" s="1"/>
  <c r="AJ466"/>
  <c r="AL466" s="1"/>
  <c r="AJ458"/>
  <c r="AL458" s="1"/>
  <c r="AJ456"/>
  <c r="AL456" s="1"/>
  <c r="AJ454"/>
  <c r="AL454" s="1"/>
  <c r="AJ452"/>
  <c r="AL452" s="1"/>
  <c r="AJ450"/>
  <c r="AL450" s="1"/>
  <c r="AJ444"/>
  <c r="AJ440"/>
  <c r="AJ436"/>
  <c r="AJ428"/>
  <c r="AJ426"/>
  <c r="AJ420"/>
  <c r="AJ418"/>
  <c r="AL418" s="1"/>
  <c r="AJ409"/>
  <c r="AJ400"/>
  <c r="AL536"/>
  <c r="AJ521"/>
  <c r="AL520"/>
  <c r="AJ519"/>
  <c r="AJ514"/>
  <c r="AL514" s="1"/>
  <c r="AK509"/>
  <c r="AJ482"/>
  <c r="AL482" s="1"/>
  <c r="AJ476"/>
  <c r="AL476" s="1"/>
  <c r="AJ471"/>
  <c r="AL471" s="1"/>
  <c r="AJ467"/>
  <c r="AL467" s="1"/>
  <c r="AJ461"/>
  <c r="AL461" s="1"/>
  <c r="AJ459"/>
  <c r="AL459" s="1"/>
  <c r="AJ455"/>
  <c r="AL455" s="1"/>
  <c r="AJ453"/>
  <c r="AL453" s="1"/>
  <c r="AJ525"/>
  <c r="AL525" s="1"/>
  <c r="AJ511"/>
  <c r="AJ462"/>
  <c r="AL462" s="1"/>
  <c r="AJ460"/>
  <c r="AL460" s="1"/>
  <c r="AJ446"/>
  <c r="AL446" s="1"/>
  <c r="AJ442"/>
  <c r="AJ434"/>
  <c r="AJ432"/>
  <c r="AJ430"/>
  <c r="AJ410"/>
  <c r="AJ407"/>
  <c r="AL407" s="1"/>
  <c r="AJ404"/>
  <c r="AL404" s="1"/>
  <c r="AJ402"/>
  <c r="AL402" s="1"/>
  <c r="AL509" l="1"/>
  <c r="AL410"/>
  <c r="AL411"/>
  <c r="AL247"/>
  <c r="AL521"/>
  <c r="AG647" l="1"/>
  <c r="AF647"/>
  <c r="AE647"/>
  <c r="AG646"/>
  <c r="AF646"/>
  <c r="AE646"/>
  <c r="AG645"/>
  <c r="AF645"/>
  <c r="AE645"/>
  <c r="AG644"/>
  <c r="AF644"/>
  <c r="AE644"/>
  <c r="AG643"/>
  <c r="AF643"/>
  <c r="AE643"/>
  <c r="AG642"/>
  <c r="AF642"/>
  <c r="AE642"/>
  <c r="AG641"/>
  <c r="AF641"/>
  <c r="AE641"/>
  <c r="AG640"/>
  <c r="AF640"/>
  <c r="AE640"/>
  <c r="AG639"/>
  <c r="AF639"/>
  <c r="AE639"/>
  <c r="AG618"/>
  <c r="AF618"/>
  <c r="AE618"/>
  <c r="AG638"/>
  <c r="AF638"/>
  <c r="AE638"/>
  <c r="AG637"/>
  <c r="AF637"/>
  <c r="AE637"/>
  <c r="AG636"/>
  <c r="AF636"/>
  <c r="AE636"/>
  <c r="AG635"/>
  <c r="AF635"/>
  <c r="AE635"/>
  <c r="AG634"/>
  <c r="AF634"/>
  <c r="AE634"/>
  <c r="AG633"/>
  <c r="AF633"/>
  <c r="AE633"/>
  <c r="AG632"/>
  <c r="AF632"/>
  <c r="AE632"/>
  <c r="AG631"/>
  <c r="AF631"/>
  <c r="AE631"/>
  <c r="AG630"/>
  <c r="AF630"/>
  <c r="AE630"/>
  <c r="AG629"/>
  <c r="AF629"/>
  <c r="AE629"/>
  <c r="AG628"/>
  <c r="AF628"/>
  <c r="AE628"/>
  <c r="AG627"/>
  <c r="AF627"/>
  <c r="AE627"/>
  <c r="AG626"/>
  <c r="AF626"/>
  <c r="AE626"/>
  <c r="AG625"/>
  <c r="AF625"/>
  <c r="AE625"/>
  <c r="AG624"/>
  <c r="AF624"/>
  <c r="AE624"/>
  <c r="AG623"/>
  <c r="AF623"/>
  <c r="AE623"/>
  <c r="AG622"/>
  <c r="AF622"/>
  <c r="AE622"/>
  <c r="AG621"/>
  <c r="AF621"/>
  <c r="AE621"/>
  <c r="AG620"/>
  <c r="AF620"/>
  <c r="AE620"/>
  <c r="AG619"/>
  <c r="AF619"/>
  <c r="AE619"/>
  <c r="AG617"/>
  <c r="AF617"/>
  <c r="AE617"/>
  <c r="AG616"/>
  <c r="AF616"/>
  <c r="AE616"/>
  <c r="AG615"/>
  <c r="AF615"/>
  <c r="AE615"/>
  <c r="AG614"/>
  <c r="AF614"/>
  <c r="AE614"/>
  <c r="AG613"/>
  <c r="AF613"/>
  <c r="AE613"/>
  <c r="AG612"/>
  <c r="AF612"/>
  <c r="AE612"/>
  <c r="AG611"/>
  <c r="AF611"/>
  <c r="AE611"/>
  <c r="AG610"/>
  <c r="AF610"/>
  <c r="AE610"/>
  <c r="AG609"/>
  <c r="AF609"/>
  <c r="AE609"/>
  <c r="AG608"/>
  <c r="AF608"/>
  <c r="AE608"/>
  <c r="AG607"/>
  <c r="AF607"/>
  <c r="AE607"/>
  <c r="AG606"/>
  <c r="AF606"/>
  <c r="AE606"/>
  <c r="AG605"/>
  <c r="AF605"/>
  <c r="AE605"/>
  <c r="AG604"/>
  <c r="AF604"/>
  <c r="AE604"/>
  <c r="AG603"/>
  <c r="AF603"/>
  <c r="AE603"/>
  <c r="AG602"/>
  <c r="AF602"/>
  <c r="AE602"/>
  <c r="AG601"/>
  <c r="AF601"/>
  <c r="AE601"/>
  <c r="AG600"/>
  <c r="AF600"/>
  <c r="AE600"/>
  <c r="AG599"/>
  <c r="AF599"/>
  <c r="AE599"/>
  <c r="AG598"/>
  <c r="AF598"/>
  <c r="AE598"/>
  <c r="AG597"/>
  <c r="AF597"/>
  <c r="AE597"/>
  <c r="AG596"/>
  <c r="AF596"/>
  <c r="AE596"/>
  <c r="AG595"/>
  <c r="AF595"/>
  <c r="AE595"/>
  <c r="AG594"/>
  <c r="AF594"/>
  <c r="AE594"/>
  <c r="AG593"/>
  <c r="AF593"/>
  <c r="AE593"/>
  <c r="AG592"/>
  <c r="AF592"/>
  <c r="AE592"/>
  <c r="AG591"/>
  <c r="AF591"/>
  <c r="AE591"/>
  <c r="AG590"/>
  <c r="AF590"/>
  <c r="AE590"/>
  <c r="AG589"/>
  <c r="AF589"/>
  <c r="AE589"/>
  <c r="AG588"/>
  <c r="AF588"/>
  <c r="AE588"/>
  <c r="AG587"/>
  <c r="AF587"/>
  <c r="AE587"/>
  <c r="AG586"/>
  <c r="AF586"/>
  <c r="AE586"/>
  <c r="AG585"/>
  <c r="AF585"/>
  <c r="AE585"/>
  <c r="AG584"/>
  <c r="AF584"/>
  <c r="AE584"/>
  <c r="AJ584" l="1"/>
  <c r="AK584"/>
  <c r="AK585"/>
  <c r="AJ586"/>
  <c r="AK586"/>
  <c r="AJ588"/>
  <c r="AK588"/>
  <c r="AJ589"/>
  <c r="AK589"/>
  <c r="AK590"/>
  <c r="AJ591"/>
  <c r="AK591"/>
  <c r="AK592"/>
  <c r="AJ593"/>
  <c r="AK593"/>
  <c r="AK594"/>
  <c r="AJ595"/>
  <c r="AK595"/>
  <c r="AK596"/>
  <c r="AJ597"/>
  <c r="AK597"/>
  <c r="AK598"/>
  <c r="AJ599"/>
  <c r="AK599"/>
  <c r="AK600"/>
  <c r="AJ601"/>
  <c r="AK601"/>
  <c r="AJ603"/>
  <c r="AK603"/>
  <c r="AJ605"/>
  <c r="AK605"/>
  <c r="AK606"/>
  <c r="AJ607"/>
  <c r="AK607"/>
  <c r="AK608"/>
  <c r="AJ609"/>
  <c r="AK609"/>
  <c r="AJ611"/>
  <c r="AK611"/>
  <c r="AJ613"/>
  <c r="AK613"/>
  <c r="AJ615"/>
  <c r="AK617"/>
  <c r="AJ622"/>
  <c r="AK623"/>
  <c r="AJ624"/>
  <c r="AJ626"/>
  <c r="AK626"/>
  <c r="AJ639"/>
  <c r="AK640"/>
  <c r="AJ641"/>
  <c r="AK641"/>
  <c r="AJ643"/>
  <c r="AK644"/>
  <c r="AJ645"/>
  <c r="AK645"/>
  <c r="AJ647"/>
  <c r="AK604"/>
  <c r="AK610"/>
  <c r="AJ602"/>
  <c r="AJ604"/>
  <c r="AJ606"/>
  <c r="AJ608"/>
  <c r="AJ610"/>
  <c r="AJ612"/>
  <c r="AJ614"/>
  <c r="AK615"/>
  <c r="AJ616"/>
  <c r="AJ619"/>
  <c r="AJ623"/>
  <c r="AJ625"/>
  <c r="AK625"/>
  <c r="AJ627"/>
  <c r="AK628"/>
  <c r="AJ629"/>
  <c r="AK629"/>
  <c r="AJ631"/>
  <c r="AK632"/>
  <c r="AJ633"/>
  <c r="AK633"/>
  <c r="AJ635"/>
  <c r="AK635"/>
  <c r="AJ637"/>
  <c r="AK637"/>
  <c r="AJ618"/>
  <c r="AK618"/>
  <c r="AJ585"/>
  <c r="AJ587"/>
  <c r="AJ590"/>
  <c r="AJ592"/>
  <c r="AJ594"/>
  <c r="AJ596"/>
  <c r="AJ598"/>
  <c r="AJ600"/>
  <c r="AK620"/>
  <c r="AJ621"/>
  <c r="AK621"/>
  <c r="AK624"/>
  <c r="AK639"/>
  <c r="AJ640"/>
  <c r="AJ642"/>
  <c r="AK642"/>
  <c r="AK643"/>
  <c r="AJ644"/>
  <c r="AJ646"/>
  <c r="AK646"/>
  <c r="AK647"/>
  <c r="AK614"/>
  <c r="AJ617"/>
  <c r="AK619"/>
  <c r="AJ620"/>
  <c r="AK622"/>
  <c r="AK627"/>
  <c r="AJ628"/>
  <c r="AJ630"/>
  <c r="AK630"/>
  <c r="AK631"/>
  <c r="AJ632"/>
  <c r="AJ634"/>
  <c r="AK634"/>
  <c r="AJ636"/>
  <c r="AK636"/>
  <c r="AJ638"/>
  <c r="AK638"/>
  <c r="AL617" l="1"/>
  <c r="AL598"/>
  <c r="AL594"/>
  <c r="AL590"/>
  <c r="AL627"/>
  <c r="AL615"/>
  <c r="AL608"/>
  <c r="AL632"/>
  <c r="AL628"/>
  <c r="AL600"/>
  <c r="AL596"/>
  <c r="AL592"/>
  <c r="AL585"/>
  <c r="AL606"/>
  <c r="AL622"/>
  <c r="AL586"/>
  <c r="AL584"/>
  <c r="AL593"/>
  <c r="AL591"/>
  <c r="AL613"/>
  <c r="AL607"/>
  <c r="AL610"/>
  <c r="AL611"/>
  <c r="AL603"/>
  <c r="AL599"/>
  <c r="AL620"/>
  <c r="AL644"/>
  <c r="AL640"/>
  <c r="AL624"/>
  <c r="AL618"/>
  <c r="AL604"/>
  <c r="AL645"/>
  <c r="AL626"/>
  <c r="AL609"/>
  <c r="AL605"/>
  <c r="AL601"/>
  <c r="AL597"/>
  <c r="AL595"/>
  <c r="AL589"/>
  <c r="AL588"/>
  <c r="AL631"/>
  <c r="AL630"/>
  <c r="AL619"/>
  <c r="AL614"/>
  <c r="AL647"/>
  <c r="AL646"/>
  <c r="AL643"/>
  <c r="AL642"/>
  <c r="AL639"/>
  <c r="AL623"/>
  <c r="AL641"/>
  <c r="AL637"/>
  <c r="AL635"/>
  <c r="AL633"/>
  <c r="AL629"/>
  <c r="AL625"/>
  <c r="AL638"/>
  <c r="AL636"/>
  <c r="AL634"/>
  <c r="AL621"/>
  <c r="AG583"/>
  <c r="AF583"/>
  <c r="AE583"/>
  <c r="AG582"/>
  <c r="AF582"/>
  <c r="AE582"/>
  <c r="AG581"/>
  <c r="AF581"/>
  <c r="AE581"/>
  <c r="AG580"/>
  <c r="AF580"/>
  <c r="AE580"/>
  <c r="AG579"/>
  <c r="AF579"/>
  <c r="AE579"/>
  <c r="AG570"/>
  <c r="AF570"/>
  <c r="AE570"/>
  <c r="AG569"/>
  <c r="AF569"/>
  <c r="AE569"/>
  <c r="AG568"/>
  <c r="AF568"/>
  <c r="AE568"/>
  <c r="AG567"/>
  <c r="AF567"/>
  <c r="AE567"/>
  <c r="AG566"/>
  <c r="AF566"/>
  <c r="AE566"/>
  <c r="AG565"/>
  <c r="AF565"/>
  <c r="AE565"/>
  <c r="AG563"/>
  <c r="AF563"/>
  <c r="AE563"/>
  <c r="AG562"/>
  <c r="AF562"/>
  <c r="AE562"/>
  <c r="AG561"/>
  <c r="AF561"/>
  <c r="AE561"/>
  <c r="AG560"/>
  <c r="AF560"/>
  <c r="AE560"/>
  <c r="AG559"/>
  <c r="AF559"/>
  <c r="AE559"/>
  <c r="AG558"/>
  <c r="AF558"/>
  <c r="AE558"/>
  <c r="AG556"/>
  <c r="AF556"/>
  <c r="AE556"/>
  <c r="AG555"/>
  <c r="AF555"/>
  <c r="AE555"/>
  <c r="AG554"/>
  <c r="AF554"/>
  <c r="AE554"/>
  <c r="AG553"/>
  <c r="AF553"/>
  <c r="AE553"/>
  <c r="AG552"/>
  <c r="AF552"/>
  <c r="AE552"/>
  <c r="AG551"/>
  <c r="AF551"/>
  <c r="AE551"/>
  <c r="AG550"/>
  <c r="AF550"/>
  <c r="AE550"/>
  <c r="AG549"/>
  <c r="AF549"/>
  <c r="AE549"/>
  <c r="AG548"/>
  <c r="AF548"/>
  <c r="AE548"/>
  <c r="AF547"/>
  <c r="AE547"/>
  <c r="AG545"/>
  <c r="AF545"/>
  <c r="AE545"/>
  <c r="AG544"/>
  <c r="AF544"/>
  <c r="AE544"/>
  <c r="AG543"/>
  <c r="AF543"/>
  <c r="AE543"/>
  <c r="AG542"/>
  <c r="AF542"/>
  <c r="AE542"/>
  <c r="AG541"/>
  <c r="AF541"/>
  <c r="AE541"/>
  <c r="AG540"/>
  <c r="AF540"/>
  <c r="AE540"/>
  <c r="AG539"/>
  <c r="AF539"/>
  <c r="AE539"/>
  <c r="AJ539" l="1"/>
  <c r="AK539"/>
  <c r="AJ540"/>
  <c r="AK544"/>
  <c r="AJ549"/>
  <c r="AK549"/>
  <c r="AJ551"/>
  <c r="AJ558"/>
  <c r="AK558"/>
  <c r="AJ560"/>
  <c r="AK560"/>
  <c r="AJ562"/>
  <c r="AK562"/>
  <c r="AJ565"/>
  <c r="AK566"/>
  <c r="AJ567"/>
  <c r="AJ569"/>
  <c r="AK570"/>
  <c r="AJ579"/>
  <c r="AK580"/>
  <c r="AJ581"/>
  <c r="AJ541"/>
  <c r="AK541"/>
  <c r="AJ543"/>
  <c r="AK543"/>
  <c r="AJ545"/>
  <c r="AK545"/>
  <c r="AJ548"/>
  <c r="AK547"/>
  <c r="AK548"/>
  <c r="AJ550"/>
  <c r="AJ552"/>
  <c r="AK542"/>
  <c r="AK583"/>
  <c r="AJ544"/>
  <c r="AJ555"/>
  <c r="AK582"/>
  <c r="AJ583"/>
  <c r="AK550"/>
  <c r="AK552"/>
  <c r="AK553"/>
  <c r="AJ554"/>
  <c r="AK540"/>
  <c r="AK555"/>
  <c r="AJ556"/>
  <c r="AK556"/>
  <c r="AJ559"/>
  <c r="AK559"/>
  <c r="AJ561"/>
  <c r="AK561"/>
  <c r="AK563"/>
  <c r="AJ563" s="1"/>
  <c r="AL563" s="1"/>
  <c r="AJ566"/>
  <c r="AJ568"/>
  <c r="AJ570"/>
  <c r="AK579"/>
  <c r="AJ580"/>
  <c r="AJ582"/>
  <c r="AJ542"/>
  <c r="AJ547"/>
  <c r="AK551"/>
  <c r="AJ553"/>
  <c r="AL551" l="1"/>
  <c r="AL579"/>
  <c r="AL580"/>
  <c r="AL570"/>
  <c r="AL566"/>
  <c r="AL549"/>
  <c r="AL550"/>
  <c r="AL560"/>
  <c r="AL558"/>
  <c r="AL539"/>
  <c r="AL542"/>
  <c r="AL556"/>
  <c r="AL544"/>
  <c r="AL543"/>
  <c r="AL541"/>
  <c r="AL540"/>
  <c r="AL562"/>
  <c r="AL545"/>
  <c r="AL553"/>
  <c r="AL547"/>
  <c r="AL582"/>
  <c r="AL583"/>
  <c r="AL552"/>
  <c r="AL548"/>
  <c r="AL555"/>
  <c r="AL561"/>
  <c r="AL559"/>
  <c r="AG398" l="1"/>
  <c r="AF398"/>
  <c r="AE398"/>
  <c r="AG397"/>
  <c r="AF397"/>
  <c r="AE397"/>
  <c r="AG396"/>
  <c r="AF396"/>
  <c r="AE396"/>
  <c r="AG395"/>
  <c r="AF395"/>
  <c r="AE395"/>
  <c r="AG394"/>
  <c r="AF394"/>
  <c r="AE394"/>
  <c r="AG393"/>
  <c r="AF393"/>
  <c r="AE393"/>
  <c r="AG391"/>
  <c r="AF391"/>
  <c r="AE391"/>
  <c r="AG390"/>
  <c r="AF390"/>
  <c r="AE390"/>
  <c r="AG389"/>
  <c r="AF389"/>
  <c r="AE389"/>
  <c r="AG388"/>
  <c r="AF388"/>
  <c r="AE388"/>
  <c r="AG387"/>
  <c r="AF387"/>
  <c r="AE387"/>
  <c r="AG386"/>
  <c r="AF386"/>
  <c r="AE386"/>
  <c r="AG385"/>
  <c r="AF385"/>
  <c r="AE385"/>
  <c r="AG384"/>
  <c r="AF384"/>
  <c r="AE384"/>
  <c r="AG383"/>
  <c r="AF383"/>
  <c r="AE383"/>
  <c r="AG382"/>
  <c r="AF382"/>
  <c r="AE382"/>
  <c r="AG381"/>
  <c r="AF381"/>
  <c r="AE381"/>
  <c r="AG380"/>
  <c r="AF380"/>
  <c r="AE380"/>
  <c r="AG379"/>
  <c r="AF379"/>
  <c r="AE379"/>
  <c r="AG378"/>
  <c r="AF378"/>
  <c r="AE378"/>
  <c r="AG377"/>
  <c r="AF377"/>
  <c r="AE377"/>
  <c r="AG376"/>
  <c r="AF376"/>
  <c r="AE376"/>
  <c r="AG375"/>
  <c r="AF375"/>
  <c r="AE375"/>
  <c r="AG374"/>
  <c r="AF374"/>
  <c r="AE374"/>
  <c r="AG373"/>
  <c r="AF373"/>
  <c r="AE373"/>
  <c r="AG372"/>
  <c r="AF372"/>
  <c r="AE372"/>
  <c r="AG371"/>
  <c r="AF371"/>
  <c r="AE371"/>
  <c r="AG370"/>
  <c r="AF370"/>
  <c r="AE370"/>
  <c r="AG369"/>
  <c r="AF369"/>
  <c r="AE369"/>
  <c r="AG368"/>
  <c r="AF368"/>
  <c r="AE368"/>
  <c r="AG367"/>
  <c r="AF367"/>
  <c r="AE367"/>
  <c r="AG366"/>
  <c r="AF366"/>
  <c r="AE366"/>
  <c r="AG365"/>
  <c r="AF365"/>
  <c r="AE365"/>
  <c r="AG364"/>
  <c r="AF364"/>
  <c r="AE364"/>
  <c r="AG363"/>
  <c r="AF363"/>
  <c r="AE363"/>
  <c r="AG362"/>
  <c r="AF362"/>
  <c r="AE362"/>
  <c r="AG361"/>
  <c r="AF361"/>
  <c r="AE361"/>
  <c r="AG360"/>
  <c r="AF360"/>
  <c r="AE360"/>
  <c r="AG359"/>
  <c r="AF359"/>
  <c r="AE359"/>
  <c r="AG358"/>
  <c r="AF358"/>
  <c r="AE358"/>
  <c r="AG357"/>
  <c r="AF357"/>
  <c r="AE357"/>
  <c r="AG356"/>
  <c r="AF356"/>
  <c r="AE356"/>
  <c r="AG355"/>
  <c r="AF355"/>
  <c r="AE355"/>
  <c r="AG354"/>
  <c r="AF354"/>
  <c r="AE354"/>
  <c r="AG353"/>
  <c r="AF353"/>
  <c r="AE353"/>
  <c r="AG352"/>
  <c r="AF352"/>
  <c r="AE352"/>
  <c r="AG351"/>
  <c r="AF351"/>
  <c r="AE351"/>
  <c r="AG350"/>
  <c r="AF350"/>
  <c r="AE350"/>
  <c r="AG349"/>
  <c r="AF349"/>
  <c r="AE349"/>
  <c r="AG348"/>
  <c r="AF348"/>
  <c r="AE348"/>
  <c r="AG347"/>
  <c r="AF347"/>
  <c r="AE347"/>
  <c r="AG346"/>
  <c r="AF346"/>
  <c r="AE346"/>
  <c r="AG345"/>
  <c r="AF345"/>
  <c r="AE345"/>
  <c r="AG344"/>
  <c r="AF344"/>
  <c r="AE344"/>
  <c r="AG343"/>
  <c r="AF343"/>
  <c r="AE343"/>
  <c r="AG342"/>
  <c r="AF342"/>
  <c r="AE342"/>
  <c r="AG341"/>
  <c r="AF341"/>
  <c r="AE341"/>
  <c r="AG340"/>
  <c r="AF340"/>
  <c r="AE340"/>
  <c r="AG339"/>
  <c r="AF339"/>
  <c r="AE339"/>
  <c r="AG338"/>
  <c r="AF338"/>
  <c r="AE338"/>
  <c r="AG337"/>
  <c r="AF337"/>
  <c r="AE337"/>
  <c r="AG336"/>
  <c r="AF336"/>
  <c r="AE336"/>
  <c r="AG335"/>
  <c r="AF335"/>
  <c r="AE335"/>
  <c r="AG334"/>
  <c r="AF334"/>
  <c r="AE334"/>
  <c r="AG333"/>
  <c r="AF333"/>
  <c r="AE333"/>
  <c r="AG332"/>
  <c r="AF332"/>
  <c r="AE332"/>
  <c r="AG331"/>
  <c r="AF331"/>
  <c r="AE331"/>
  <c r="AG330"/>
  <c r="AF330"/>
  <c r="AE330"/>
  <c r="AG329"/>
  <c r="AF329"/>
  <c r="AE329"/>
  <c r="AG328"/>
  <c r="AF328"/>
  <c r="AE328"/>
  <c r="AG327"/>
  <c r="AF327"/>
  <c r="AE327"/>
  <c r="AG326"/>
  <c r="AF326"/>
  <c r="AE326"/>
  <c r="AG325"/>
  <c r="AF325"/>
  <c r="AE325"/>
  <c r="AG324"/>
  <c r="AF324"/>
  <c r="AE324"/>
  <c r="AG323"/>
  <c r="AF323"/>
  <c r="AE323"/>
  <c r="AG322"/>
  <c r="AF322"/>
  <c r="AE322"/>
  <c r="AG321"/>
  <c r="AF321"/>
  <c r="AE321"/>
  <c r="AG320"/>
  <c r="AF320"/>
  <c r="AE320"/>
  <c r="AG319"/>
  <c r="AF319"/>
  <c r="AE319"/>
  <c r="AG318"/>
  <c r="AF318"/>
  <c r="AE318"/>
  <c r="AG317"/>
  <c r="AF317"/>
  <c r="AE317"/>
  <c r="AG316"/>
  <c r="AF316"/>
  <c r="AE316"/>
  <c r="AG315"/>
  <c r="AF315"/>
  <c r="AE315"/>
  <c r="AG314"/>
  <c r="AF314"/>
  <c r="AE314"/>
  <c r="AG313"/>
  <c r="AF313"/>
  <c r="AE313"/>
  <c r="AG312"/>
  <c r="AF312"/>
  <c r="AE312"/>
  <c r="AG311"/>
  <c r="AF311"/>
  <c r="AE311"/>
  <c r="AG310"/>
  <c r="AF310"/>
  <c r="AE310"/>
  <c r="AG309"/>
  <c r="AF309"/>
  <c r="AE309"/>
  <c r="AG308"/>
  <c r="AF308"/>
  <c r="AE308"/>
  <c r="AG307"/>
  <c r="AF307"/>
  <c r="AE307"/>
  <c r="AG306"/>
  <c r="AF306"/>
  <c r="AE306"/>
  <c r="AG305"/>
  <c r="AF305"/>
  <c r="AE305"/>
  <c r="AG304"/>
  <c r="AF304"/>
  <c r="AE304"/>
  <c r="AG303"/>
  <c r="AF303"/>
  <c r="AE303"/>
  <c r="AG302"/>
  <c r="AF302"/>
  <c r="AE302"/>
  <c r="AG301"/>
  <c r="AF301"/>
  <c r="AE301"/>
  <c r="AG300"/>
  <c r="AF300"/>
  <c r="AE300"/>
  <c r="AG299"/>
  <c r="AF299"/>
  <c r="AE299"/>
  <c r="AG297"/>
  <c r="AF297"/>
  <c r="AE297"/>
  <c r="AG296"/>
  <c r="AF296"/>
  <c r="AE296"/>
  <c r="AG295"/>
  <c r="AF295"/>
  <c r="AE295"/>
  <c r="AG294"/>
  <c r="AF294"/>
  <c r="AE294"/>
  <c r="AG293"/>
  <c r="AF293"/>
  <c r="AE293"/>
  <c r="AG292"/>
  <c r="AF292"/>
  <c r="AE292"/>
  <c r="AG291"/>
  <c r="AF291"/>
  <c r="AE291"/>
  <c r="AG290"/>
  <c r="AF290"/>
  <c r="AE290"/>
  <c r="U290"/>
  <c r="AG289"/>
  <c r="AF289"/>
  <c r="AE289"/>
  <c r="U289"/>
  <c r="AG288"/>
  <c r="AF288"/>
  <c r="AE288"/>
  <c r="AG287"/>
  <c r="AF287"/>
  <c r="AE287"/>
  <c r="AG286"/>
  <c r="AF286"/>
  <c r="AE286"/>
  <c r="AG285"/>
  <c r="AF285"/>
  <c r="AE285"/>
  <c r="AG284"/>
  <c r="AF284"/>
  <c r="AE284"/>
  <c r="AG283"/>
  <c r="AF283"/>
  <c r="AE283"/>
  <c r="AG282"/>
  <c r="AF282"/>
  <c r="AE282"/>
  <c r="AG281"/>
  <c r="AF281"/>
  <c r="AE281"/>
  <c r="AG280"/>
  <c r="AF280"/>
  <c r="AE280"/>
  <c r="AG279"/>
  <c r="AF279"/>
  <c r="AE279"/>
  <c r="AG278"/>
  <c r="AF278"/>
  <c r="AE278"/>
  <c r="AG277"/>
  <c r="AF277"/>
  <c r="AE277"/>
  <c r="AG276"/>
  <c r="AF276"/>
  <c r="AE276"/>
  <c r="AG275"/>
  <c r="AF275"/>
  <c r="AE275"/>
  <c r="AG274"/>
  <c r="AF274"/>
  <c r="AE274"/>
  <c r="AG273"/>
  <c r="AF273"/>
  <c r="AE273"/>
  <c r="AG272"/>
  <c r="AF272"/>
  <c r="AE272"/>
  <c r="AG271"/>
  <c r="AF271"/>
  <c r="AE271"/>
  <c r="AG270"/>
  <c r="AF270"/>
  <c r="AE270"/>
  <c r="AG269"/>
  <c r="AF269"/>
  <c r="AE269"/>
  <c r="AG268"/>
  <c r="AF268"/>
  <c r="AE268"/>
  <c r="AG267"/>
  <c r="AF267"/>
  <c r="AE267"/>
  <c r="AG266"/>
  <c r="AF266"/>
  <c r="AE266"/>
  <c r="AG265"/>
  <c r="AF265"/>
  <c r="AE265"/>
  <c r="AG264"/>
  <c r="AF264"/>
  <c r="AE264"/>
  <c r="AG263"/>
  <c r="AF263"/>
  <c r="AE263"/>
  <c r="AG262"/>
  <c r="AF262"/>
  <c r="AE262"/>
  <c r="AG261"/>
  <c r="AF261"/>
  <c r="AE261"/>
  <c r="AG260"/>
  <c r="AF260"/>
  <c r="AE260"/>
  <c r="AG259"/>
  <c r="AF259"/>
  <c r="AE259"/>
  <c r="AH288" l="1"/>
  <c r="AK288" s="1"/>
  <c r="AH289"/>
  <c r="AH290"/>
  <c r="AH323"/>
  <c r="AK323" s="1"/>
  <c r="AJ333"/>
  <c r="AJ335"/>
  <c r="AK335"/>
  <c r="AK336"/>
  <c r="AJ337"/>
  <c r="AJ341"/>
  <c r="AJ343"/>
  <c r="AK353"/>
  <c r="AJ355"/>
  <c r="AJ357"/>
  <c r="AK361"/>
  <c r="AJ363"/>
  <c r="AJ365"/>
  <c r="AJ367"/>
  <c r="AJ369"/>
  <c r="AJ303"/>
  <c r="AJ305"/>
  <c r="AJ307"/>
  <c r="AK307"/>
  <c r="AJ311"/>
  <c r="AJ313"/>
  <c r="AJ361"/>
  <c r="AJ294"/>
  <c r="AK294"/>
  <c r="AJ296"/>
  <c r="AJ299"/>
  <c r="AJ301"/>
  <c r="AJ260"/>
  <c r="AK260"/>
  <c r="AK261"/>
  <c r="AK262"/>
  <c r="AJ263"/>
  <c r="AK263"/>
  <c r="AJ264"/>
  <c r="AK264"/>
  <c r="AJ265"/>
  <c r="AK265"/>
  <c r="AJ266"/>
  <c r="AK266"/>
  <c r="AJ267"/>
  <c r="AK267"/>
  <c r="AJ268"/>
  <c r="AK268"/>
  <c r="AJ270"/>
  <c r="AK270"/>
  <c r="AJ272"/>
  <c r="AK272"/>
  <c r="AJ274"/>
  <c r="AK274"/>
  <c r="AJ276"/>
  <c r="AK276"/>
  <c r="AJ278"/>
  <c r="AK278"/>
  <c r="AJ280"/>
  <c r="AK280"/>
  <c r="AJ282"/>
  <c r="AK282"/>
  <c r="AJ284"/>
  <c r="AK284"/>
  <c r="AJ286"/>
  <c r="AK286"/>
  <c r="AK287"/>
  <c r="AJ291"/>
  <c r="AJ293"/>
  <c r="AK293"/>
  <c r="AJ295"/>
  <c r="AJ308"/>
  <c r="AJ312"/>
  <c r="AJ314"/>
  <c r="AJ318"/>
  <c r="AJ322"/>
  <c r="AJ323"/>
  <c r="AJ324"/>
  <c r="AJ326"/>
  <c r="AK326"/>
  <c r="AJ328"/>
  <c r="AJ330"/>
  <c r="AK331"/>
  <c r="AJ332"/>
  <c r="AJ334"/>
  <c r="AK338"/>
  <c r="AK339"/>
  <c r="AJ340"/>
  <c r="AJ342"/>
  <c r="AJ344"/>
  <c r="AK346"/>
  <c r="AK347"/>
  <c r="AJ348"/>
  <c r="AK348"/>
  <c r="AK349"/>
  <c r="AJ350"/>
  <c r="AK350"/>
  <c r="AJ352"/>
  <c r="AJ354"/>
  <c r="AJ356"/>
  <c r="AJ358"/>
  <c r="AJ360"/>
  <c r="AJ364"/>
  <c r="AJ368"/>
  <c r="AJ370"/>
  <c r="AJ372"/>
  <c r="AJ374"/>
  <c r="AJ376"/>
  <c r="AJ378"/>
  <c r="AJ380"/>
  <c r="AJ382"/>
  <c r="AJ384"/>
  <c r="AJ386"/>
  <c r="AJ388"/>
  <c r="AJ390"/>
  <c r="AJ393"/>
  <c r="AJ395"/>
  <c r="AJ315"/>
  <c r="AJ321"/>
  <c r="AJ325"/>
  <c r="AJ262"/>
  <c r="AJ327"/>
  <c r="AK333"/>
  <c r="AK337"/>
  <c r="AK343"/>
  <c r="AJ373"/>
  <c r="AJ375"/>
  <c r="AJ377"/>
  <c r="AJ379"/>
  <c r="AJ261"/>
  <c r="AJ269"/>
  <c r="AK269"/>
  <c r="AJ271"/>
  <c r="AK271"/>
  <c r="AJ273"/>
  <c r="AJ288"/>
  <c r="AJ289"/>
  <c r="AJ290"/>
  <c r="AJ292"/>
  <c r="AJ329"/>
  <c r="AK334"/>
  <c r="AJ347"/>
  <c r="AJ349"/>
  <c r="AJ353"/>
  <c r="AJ359"/>
  <c r="AK359"/>
  <c r="AJ371"/>
  <c r="AJ381"/>
  <c r="AJ385"/>
  <c r="AJ391"/>
  <c r="AJ394"/>
  <c r="AJ396"/>
  <c r="AJ398"/>
  <c r="AJ302"/>
  <c r="AK297"/>
  <c r="AJ297" s="1"/>
  <c r="AL297" s="1"/>
  <c r="AJ300"/>
  <c r="AK302"/>
  <c r="AJ304"/>
  <c r="AK304"/>
  <c r="AJ306"/>
  <c r="AJ310"/>
  <c r="AJ316"/>
  <c r="AJ320"/>
  <c r="AK327"/>
  <c r="AJ336"/>
  <c r="AJ338"/>
  <c r="AJ346"/>
  <c r="AK357"/>
  <c r="AJ362"/>
  <c r="AJ366"/>
  <c r="AK396"/>
  <c r="AJ397"/>
  <c r="AK397"/>
  <c r="AJ259"/>
  <c r="AK273"/>
  <c r="AJ275"/>
  <c r="AK275"/>
  <c r="AJ277"/>
  <c r="AK277"/>
  <c r="AJ279"/>
  <c r="AK279"/>
  <c r="AJ281"/>
  <c r="AK281"/>
  <c r="AJ283"/>
  <c r="AK283"/>
  <c r="AJ285"/>
  <c r="AK285"/>
  <c r="AJ287"/>
  <c r="AK292"/>
  <c r="AJ309"/>
  <c r="AJ317"/>
  <c r="AK324"/>
  <c r="AK329"/>
  <c r="AJ331"/>
  <c r="AJ339"/>
  <c r="AK345"/>
  <c r="AJ345" s="1"/>
  <c r="AL345" s="1"/>
  <c r="AJ351"/>
  <c r="AK360"/>
  <c r="AJ383"/>
  <c r="AJ387"/>
  <c r="AK391"/>
  <c r="AG258"/>
  <c r="AF258"/>
  <c r="AE258"/>
  <c r="U258"/>
  <c r="AG257"/>
  <c r="AF257"/>
  <c r="AE257"/>
  <c r="U257"/>
  <c r="AG256"/>
  <c r="AF256"/>
  <c r="AE256"/>
  <c r="AH257" l="1"/>
  <c r="AH258"/>
  <c r="AL336"/>
  <c r="AL347"/>
  <c r="AL349"/>
  <c r="AL333"/>
  <c r="AL262"/>
  <c r="AL261"/>
  <c r="AL323"/>
  <c r="AL357"/>
  <c r="AL353"/>
  <c r="AL361"/>
  <c r="AL339"/>
  <c r="AL287"/>
  <c r="AL327"/>
  <c r="AL334"/>
  <c r="AL335"/>
  <c r="AL329"/>
  <c r="AL288"/>
  <c r="AL348"/>
  <c r="AL293"/>
  <c r="AL284"/>
  <c r="AL282"/>
  <c r="AL274"/>
  <c r="AL263"/>
  <c r="AL260"/>
  <c r="AL294"/>
  <c r="AL343"/>
  <c r="AL337"/>
  <c r="AL269"/>
  <c r="AL292"/>
  <c r="AL396"/>
  <c r="AL338"/>
  <c r="AL324"/>
  <c r="AL391"/>
  <c r="AL279"/>
  <c r="AL277"/>
  <c r="AL275"/>
  <c r="AL307"/>
  <c r="AL302"/>
  <c r="AL359"/>
  <c r="AL350"/>
  <c r="AL326"/>
  <c r="AL286"/>
  <c r="AL280"/>
  <c r="AL278"/>
  <c r="AL276"/>
  <c r="AL272"/>
  <c r="AL270"/>
  <c r="AL268"/>
  <c r="AL267"/>
  <c r="AL266"/>
  <c r="AL265"/>
  <c r="AL264"/>
  <c r="AJ258"/>
  <c r="AL360"/>
  <c r="AL346"/>
  <c r="AL331"/>
  <c r="AL273"/>
  <c r="AL397"/>
  <c r="AL271"/>
  <c r="AJ256"/>
  <c r="AJ257"/>
  <c r="AL285"/>
  <c r="AL283"/>
  <c r="AL281"/>
  <c r="AL304"/>
  <c r="U256"/>
  <c r="AG255"/>
  <c r="AF255"/>
  <c r="AE255"/>
  <c r="AG254"/>
  <c r="AF254"/>
  <c r="AE254"/>
  <c r="AG253"/>
  <c r="AF253"/>
  <c r="AE253"/>
  <c r="AG252"/>
  <c r="AF252"/>
  <c r="AE252"/>
  <c r="AG251"/>
  <c r="AF251"/>
  <c r="AE251"/>
  <c r="AG250"/>
  <c r="AF250"/>
  <c r="AE250"/>
  <c r="AG249"/>
  <c r="AF249"/>
  <c r="AE249"/>
  <c r="AG241"/>
  <c r="AF241"/>
  <c r="AE241"/>
  <c r="AG240"/>
  <c r="AF240"/>
  <c r="AE240"/>
  <c r="AG239"/>
  <c r="AF239"/>
  <c r="AE239"/>
  <c r="AH256" l="1"/>
  <c r="AK253"/>
  <c r="AJ240"/>
  <c r="AJ249"/>
  <c r="AK249"/>
  <c r="AK252"/>
  <c r="AK251"/>
  <c r="AJ253"/>
  <c r="AK240"/>
  <c r="AJ252"/>
  <c r="AJ251"/>
  <c r="AJ255"/>
  <c r="AK239"/>
  <c r="AJ239"/>
  <c r="AJ241"/>
  <c r="AK241"/>
  <c r="AJ250"/>
  <c r="AK250"/>
  <c r="AK255"/>
  <c r="AJ254"/>
  <c r="AK254"/>
  <c r="AG238"/>
  <c r="AF238"/>
  <c r="AE238"/>
  <c r="AG237"/>
  <c r="AF237"/>
  <c r="AE237"/>
  <c r="AG236"/>
  <c r="AF236"/>
  <c r="AE236"/>
  <c r="AG235"/>
  <c r="AF235"/>
  <c r="AE235"/>
  <c r="AG234"/>
  <c r="AF234"/>
  <c r="AE234"/>
  <c r="AG233"/>
  <c r="AF233"/>
  <c r="AE233"/>
  <c r="AG232"/>
  <c r="AF232"/>
  <c r="AE232"/>
  <c r="AG231"/>
  <c r="AF231"/>
  <c r="AE231"/>
  <c r="AG230"/>
  <c r="AF230"/>
  <c r="AE230"/>
  <c r="AG229"/>
  <c r="AF229"/>
  <c r="AE229"/>
  <c r="AG228"/>
  <c r="AF228"/>
  <c r="AE228"/>
  <c r="AG227"/>
  <c r="AF227"/>
  <c r="AE227"/>
  <c r="AG226"/>
  <c r="AF226"/>
  <c r="AE226"/>
  <c r="AG225"/>
  <c r="AF225"/>
  <c r="AE225"/>
  <c r="AG224"/>
  <c r="AF224"/>
  <c r="AE224"/>
  <c r="AG223"/>
  <c r="AF223"/>
  <c r="AE223"/>
  <c r="AG222"/>
  <c r="AF222"/>
  <c r="AE222"/>
  <c r="AG221"/>
  <c r="AF221"/>
  <c r="AE221"/>
  <c r="AG220"/>
  <c r="AF220"/>
  <c r="AE220"/>
  <c r="AG219"/>
  <c r="AF219"/>
  <c r="AE219"/>
  <c r="AG218"/>
  <c r="AF218"/>
  <c r="AE218"/>
  <c r="AG217"/>
  <c r="AF217"/>
  <c r="AE217"/>
  <c r="AG216"/>
  <c r="AF216"/>
  <c r="AE216"/>
  <c r="AG215"/>
  <c r="AF215"/>
  <c r="AE215"/>
  <c r="AG214"/>
  <c r="AF214"/>
  <c r="AE214"/>
  <c r="AG213"/>
  <c r="AF213"/>
  <c r="AE213"/>
  <c r="AG212"/>
  <c r="AF212"/>
  <c r="AE212"/>
  <c r="AG211"/>
  <c r="AF211"/>
  <c r="AE211"/>
  <c r="AG210"/>
  <c r="AF210"/>
  <c r="AE210"/>
  <c r="AG209"/>
  <c r="AF209"/>
  <c r="AE209"/>
  <c r="AG208"/>
  <c r="AF208"/>
  <c r="AE208"/>
  <c r="AG207"/>
  <c r="AF207"/>
  <c r="AE207"/>
  <c r="AG206"/>
  <c r="AF206"/>
  <c r="AE206"/>
  <c r="AG205"/>
  <c r="AF205"/>
  <c r="AE205"/>
  <c r="AG204"/>
  <c r="AF204"/>
  <c r="AE204"/>
  <c r="AG203"/>
  <c r="AF203"/>
  <c r="AE203"/>
  <c r="AG202"/>
  <c r="AF202"/>
  <c r="AE202"/>
  <c r="AG201"/>
  <c r="AF201"/>
  <c r="AE201"/>
  <c r="AG200"/>
  <c r="AF200"/>
  <c r="AE200"/>
  <c r="AG199"/>
  <c r="AF199"/>
  <c r="AE199"/>
  <c r="AG198"/>
  <c r="AF198"/>
  <c r="AE198"/>
  <c r="AG197"/>
  <c r="AF197"/>
  <c r="AE197"/>
  <c r="AG196"/>
  <c r="AF196"/>
  <c r="AE196"/>
  <c r="AG195"/>
  <c r="AF195"/>
  <c r="AE195"/>
  <c r="AG194"/>
  <c r="AF194"/>
  <c r="AE194"/>
  <c r="AG193"/>
  <c r="AF193"/>
  <c r="AE193"/>
  <c r="AG192"/>
  <c r="AF192"/>
  <c r="AE192"/>
  <c r="AG191"/>
  <c r="AF191"/>
  <c r="AE191"/>
  <c r="AG190"/>
  <c r="AF190"/>
  <c r="AE190"/>
  <c r="AG189"/>
  <c r="AF189"/>
  <c r="AE189"/>
  <c r="AG188"/>
  <c r="AF188"/>
  <c r="AE188"/>
  <c r="AG187"/>
  <c r="AF187"/>
  <c r="AE187"/>
  <c r="AG186"/>
  <c r="AF186"/>
  <c r="AE186"/>
  <c r="AG185"/>
  <c r="AF185"/>
  <c r="AE185"/>
  <c r="AG184"/>
  <c r="AF184"/>
  <c r="AE184"/>
  <c r="AG183"/>
  <c r="AF183"/>
  <c r="AE183"/>
  <c r="AG182"/>
  <c r="AF182"/>
  <c r="AE182"/>
  <c r="AG181"/>
  <c r="AF181"/>
  <c r="AE181"/>
  <c r="AG180"/>
  <c r="AF180"/>
  <c r="AE180"/>
  <c r="AG179"/>
  <c r="AF179"/>
  <c r="AE179"/>
  <c r="AG178"/>
  <c r="AF178"/>
  <c r="AE178"/>
  <c r="AG177"/>
  <c r="AF177"/>
  <c r="AE177"/>
  <c r="AG176"/>
  <c r="AF176"/>
  <c r="AE176"/>
  <c r="AG175"/>
  <c r="AF175"/>
  <c r="AE175"/>
  <c r="AG174"/>
  <c r="AF174"/>
  <c r="AE174"/>
  <c r="AG173"/>
  <c r="AF173"/>
  <c r="AE173"/>
  <c r="AG172"/>
  <c r="AF172"/>
  <c r="AE172"/>
  <c r="AG171"/>
  <c r="AF171"/>
  <c r="AE171"/>
  <c r="AG170"/>
  <c r="AF170"/>
  <c r="AE170"/>
  <c r="AG169"/>
  <c r="AF169"/>
  <c r="AE169"/>
  <c r="AG168"/>
  <c r="AF168"/>
  <c r="AE168"/>
  <c r="AG167"/>
  <c r="AF167"/>
  <c r="AE167"/>
  <c r="AG166"/>
  <c r="AF166"/>
  <c r="AE166"/>
  <c r="AG165"/>
  <c r="AF165"/>
  <c r="AE165"/>
  <c r="AG164"/>
  <c r="AF164"/>
  <c r="AE164"/>
  <c r="AG163"/>
  <c r="AF163"/>
  <c r="AE163"/>
  <c r="AG162"/>
  <c r="AF162"/>
  <c r="AE162"/>
  <c r="AG161"/>
  <c r="AF161"/>
  <c r="AE161"/>
  <c r="AG160"/>
  <c r="AF160"/>
  <c r="AE160"/>
  <c r="AG159"/>
  <c r="AF159"/>
  <c r="AE159"/>
  <c r="AG158"/>
  <c r="AF158"/>
  <c r="AE158"/>
  <c r="AG157"/>
  <c r="AF157"/>
  <c r="AE157"/>
  <c r="AG156"/>
  <c r="AF156"/>
  <c r="AE156"/>
  <c r="AG155"/>
  <c r="AF155"/>
  <c r="AE155"/>
  <c r="AG154"/>
  <c r="AF154"/>
  <c r="AE154"/>
  <c r="AG153"/>
  <c r="AF153"/>
  <c r="AE153"/>
  <c r="AG152"/>
  <c r="AF152"/>
  <c r="AE152"/>
  <c r="AG151"/>
  <c r="AF151"/>
  <c r="AE151"/>
  <c r="AG150"/>
  <c r="AF150"/>
  <c r="AE150"/>
  <c r="AG149"/>
  <c r="AF149"/>
  <c r="AE149"/>
  <c r="AG148"/>
  <c r="AF148"/>
  <c r="AE148"/>
  <c r="AG147"/>
  <c r="AF147"/>
  <c r="AE147"/>
  <c r="AG146"/>
  <c r="AF146"/>
  <c r="AE146"/>
  <c r="AG145"/>
  <c r="AF145"/>
  <c r="AE145"/>
  <c r="AG144"/>
  <c r="AF144"/>
  <c r="AE144"/>
  <c r="AG143"/>
  <c r="AF143"/>
  <c r="AE143"/>
  <c r="AG142"/>
  <c r="AF142"/>
  <c r="AE142"/>
  <c r="AG141"/>
  <c r="AF141"/>
  <c r="AE141"/>
  <c r="AG140"/>
  <c r="AF140"/>
  <c r="AE140"/>
  <c r="AG139"/>
  <c r="AF139"/>
  <c r="AE139"/>
  <c r="AG138"/>
  <c r="AF138"/>
  <c r="AE138"/>
  <c r="AG137"/>
  <c r="AF137"/>
  <c r="AE137"/>
  <c r="AG136"/>
  <c r="AF136"/>
  <c r="AE136"/>
  <c r="AG135"/>
  <c r="AF135"/>
  <c r="AE135"/>
  <c r="AG134"/>
  <c r="AF134"/>
  <c r="AE134"/>
  <c r="AG133"/>
  <c r="AF133"/>
  <c r="AE133"/>
  <c r="AG132"/>
  <c r="AF132"/>
  <c r="AE132"/>
  <c r="AG131"/>
  <c r="AF131"/>
  <c r="AE131"/>
  <c r="AG130"/>
  <c r="AF130"/>
  <c r="AE130"/>
  <c r="AG129"/>
  <c r="AF129"/>
  <c r="AE129"/>
  <c r="AG128"/>
  <c r="AF128"/>
  <c r="AE128"/>
  <c r="AG127"/>
  <c r="AF127"/>
  <c r="AE127"/>
  <c r="AL255" l="1"/>
  <c r="AJ159"/>
  <c r="AJ162"/>
  <c r="AJ177"/>
  <c r="AJ179"/>
  <c r="AJ181"/>
  <c r="AK181"/>
  <c r="AJ183"/>
  <c r="AJ187"/>
  <c r="AK187"/>
  <c r="AJ189"/>
  <c r="AK190"/>
  <c r="AJ191"/>
  <c r="AK191"/>
  <c r="AL253"/>
  <c r="AJ128"/>
  <c r="AK128"/>
  <c r="AJ129"/>
  <c r="AK129"/>
  <c r="AJ131"/>
  <c r="AK131"/>
  <c r="AJ133"/>
  <c r="AK133"/>
  <c r="AJ135"/>
  <c r="AJ137"/>
  <c r="AK137"/>
  <c r="AJ139"/>
  <c r="AJ141"/>
  <c r="AK141"/>
  <c r="AJ143"/>
  <c r="AK144"/>
  <c r="AJ145"/>
  <c r="AK145"/>
  <c r="AJ147"/>
  <c r="AK147"/>
  <c r="AJ149"/>
  <c r="AJ153"/>
  <c r="AK153"/>
  <c r="AJ155"/>
  <c r="AJ157"/>
  <c r="AK163"/>
  <c r="AJ164"/>
  <c r="AK164"/>
  <c r="AJ166"/>
  <c r="AK167"/>
  <c r="AJ168"/>
  <c r="AK168"/>
  <c r="AJ171"/>
  <c r="AJ173"/>
  <c r="AL251"/>
  <c r="AL249"/>
  <c r="AJ176"/>
  <c r="AJ178"/>
  <c r="AJ182"/>
  <c r="AJ184"/>
  <c r="AJ196"/>
  <c r="AK196"/>
  <c r="AJ198"/>
  <c r="AJ200"/>
  <c r="AJ202"/>
  <c r="AK202"/>
  <c r="AK203"/>
  <c r="AJ204"/>
  <c r="AK204"/>
  <c r="AK205"/>
  <c r="AJ206"/>
  <c r="AK206"/>
  <c r="AJ208"/>
  <c r="AJ210"/>
  <c r="AK210"/>
  <c r="AJ212"/>
  <c r="AJ214"/>
  <c r="AK214"/>
  <c r="AJ216"/>
  <c r="AK216"/>
  <c r="AJ217"/>
  <c r="AK217"/>
  <c r="AJ219"/>
  <c r="AJ221"/>
  <c r="AK221"/>
  <c r="AJ223"/>
  <c r="AK223"/>
  <c r="AJ225"/>
  <c r="AK225"/>
  <c r="AJ227"/>
  <c r="AJ229"/>
  <c r="AJ231"/>
  <c r="AJ233"/>
  <c r="AK233"/>
  <c r="AK234"/>
  <c r="AJ235"/>
  <c r="AJ237"/>
  <c r="AL240"/>
  <c r="AJ186"/>
  <c r="AK226"/>
  <c r="AK237"/>
  <c r="AL237" s="1"/>
  <c r="AL252"/>
  <c r="AJ188"/>
  <c r="AK178"/>
  <c r="AK172"/>
  <c r="AJ193"/>
  <c r="AL239"/>
  <c r="AK192"/>
  <c r="AK194"/>
  <c r="AJ195"/>
  <c r="AK195"/>
  <c r="AJ197"/>
  <c r="AK197"/>
  <c r="AJ199"/>
  <c r="AJ207"/>
  <c r="AK207"/>
  <c r="AJ209"/>
  <c r="AJ211"/>
  <c r="AJ213"/>
  <c r="AJ215"/>
  <c r="AK213"/>
  <c r="AK169"/>
  <c r="AK188"/>
  <c r="AK215"/>
  <c r="AL215" s="1"/>
  <c r="AJ218"/>
  <c r="AL254"/>
  <c r="AJ127"/>
  <c r="AK127"/>
  <c r="AJ130"/>
  <c r="AK130"/>
  <c r="AJ132"/>
  <c r="AK132"/>
  <c r="AJ134"/>
  <c r="AK134"/>
  <c r="AJ136"/>
  <c r="AJ138"/>
  <c r="AK138"/>
  <c r="AK139"/>
  <c r="AJ140"/>
  <c r="AK140"/>
  <c r="AJ142"/>
  <c r="AK142"/>
  <c r="AJ144"/>
  <c r="AJ146"/>
  <c r="AK146"/>
  <c r="AJ148"/>
  <c r="AK149"/>
  <c r="AJ150"/>
  <c r="AK151"/>
  <c r="AJ152"/>
  <c r="AK152"/>
  <c r="AJ154"/>
  <c r="AK155"/>
  <c r="AJ156"/>
  <c r="AK156"/>
  <c r="AJ158"/>
  <c r="AK159"/>
  <c r="AJ160"/>
  <c r="AK160"/>
  <c r="AJ161"/>
  <c r="AK161"/>
  <c r="AJ163"/>
  <c r="AJ165"/>
  <c r="AK165"/>
  <c r="AJ169"/>
  <c r="AJ170"/>
  <c r="AK183"/>
  <c r="AK185"/>
  <c r="AL241"/>
  <c r="AK180"/>
  <c r="AK198"/>
  <c r="AK200"/>
  <c r="AJ201"/>
  <c r="AK201"/>
  <c r="AK218"/>
  <c r="AK136"/>
  <c r="AK148"/>
  <c r="AK150"/>
  <c r="AJ151"/>
  <c r="AK154"/>
  <c r="AK158"/>
  <c r="AK174"/>
  <c r="AJ175"/>
  <c r="AK175"/>
  <c r="AK182"/>
  <c r="AK184"/>
  <c r="AJ185"/>
  <c r="AJ203"/>
  <c r="AJ205"/>
  <c r="AK208"/>
  <c r="AK212"/>
  <c r="AK219"/>
  <c r="AJ220"/>
  <c r="AK220"/>
  <c r="AJ222"/>
  <c r="AK222"/>
  <c r="AJ224"/>
  <c r="AK224"/>
  <c r="AJ226"/>
  <c r="AK227"/>
  <c r="AJ228"/>
  <c r="AK228"/>
  <c r="AK229"/>
  <c r="AJ230"/>
  <c r="AK230"/>
  <c r="AK231"/>
  <c r="AJ232"/>
  <c r="AK232"/>
  <c r="AJ234"/>
  <c r="AK235"/>
  <c r="AL235" s="1"/>
  <c r="AJ236"/>
  <c r="AK236"/>
  <c r="AJ238"/>
  <c r="AK238"/>
  <c r="AL250"/>
  <c r="AK135"/>
  <c r="AK143"/>
  <c r="AK157"/>
  <c r="AK162"/>
  <c r="AK166"/>
  <c r="AJ167"/>
  <c r="AK170"/>
  <c r="AK171"/>
  <c r="AJ172"/>
  <c r="AK173"/>
  <c r="AJ174"/>
  <c r="AL174" s="1"/>
  <c r="AK177"/>
  <c r="AK179"/>
  <c r="AJ180"/>
  <c r="AK186"/>
  <c r="AK189"/>
  <c r="AJ190"/>
  <c r="AJ192"/>
  <c r="AK193"/>
  <c r="AJ194"/>
  <c r="AK199"/>
  <c r="AK209"/>
  <c r="AK211"/>
  <c r="AG126"/>
  <c r="AF126"/>
  <c r="AE126"/>
  <c r="AG125"/>
  <c r="AF125"/>
  <c r="AE125"/>
  <c r="AG124"/>
  <c r="AF124"/>
  <c r="AE124"/>
  <c r="AG123"/>
  <c r="AF123"/>
  <c r="AE123"/>
  <c r="AG121"/>
  <c r="AF121"/>
  <c r="AE121"/>
  <c r="AG120"/>
  <c r="AF120"/>
  <c r="AE120"/>
  <c r="AG119"/>
  <c r="AF119"/>
  <c r="AE119"/>
  <c r="AG118"/>
  <c r="AF118"/>
  <c r="AE118"/>
  <c r="AG117"/>
  <c r="AF117"/>
  <c r="AE117"/>
  <c r="AG116"/>
  <c r="AF116"/>
  <c r="AE116"/>
  <c r="AG115"/>
  <c r="AF115"/>
  <c r="AE115"/>
  <c r="AG114"/>
  <c r="AF114"/>
  <c r="AE114"/>
  <c r="AG113"/>
  <c r="AF113"/>
  <c r="AE113"/>
  <c r="AG112"/>
  <c r="AF112"/>
  <c r="AE112"/>
  <c r="AG111"/>
  <c r="AF111"/>
  <c r="AE111"/>
  <c r="AG106"/>
  <c r="AF106"/>
  <c r="AE106"/>
  <c r="AG105"/>
  <c r="AF105"/>
  <c r="AE105"/>
  <c r="AG104"/>
  <c r="AF104"/>
  <c r="AE104"/>
  <c r="AG103"/>
  <c r="AF103"/>
  <c r="AE103"/>
  <c r="AG102"/>
  <c r="AF102"/>
  <c r="AE102"/>
  <c r="AG101"/>
  <c r="AF101"/>
  <c r="AE101"/>
  <c r="AG100"/>
  <c r="AF100"/>
  <c r="AE100"/>
  <c r="AG99"/>
  <c r="AF99"/>
  <c r="AE99"/>
  <c r="AG98"/>
  <c r="AF98"/>
  <c r="AE98"/>
  <c r="AG97"/>
  <c r="AF97"/>
  <c r="AE97"/>
  <c r="AG96"/>
  <c r="AF96"/>
  <c r="AE96"/>
  <c r="AG95"/>
  <c r="AF95"/>
  <c r="AE95"/>
  <c r="AG94"/>
  <c r="AF94"/>
  <c r="AE94"/>
  <c r="AG93"/>
  <c r="AF93"/>
  <c r="AE93"/>
  <c r="AG92"/>
  <c r="AF92"/>
  <c r="AE92"/>
  <c r="AG91"/>
  <c r="AF91"/>
  <c r="AE91"/>
  <c r="AG90"/>
  <c r="AF90"/>
  <c r="AE90"/>
  <c r="AG89"/>
  <c r="AF89"/>
  <c r="AE89"/>
  <c r="AG88"/>
  <c r="AF88"/>
  <c r="AE88"/>
  <c r="AG87"/>
  <c r="AF87"/>
  <c r="AE87"/>
  <c r="AG86"/>
  <c r="AF86"/>
  <c r="AE86"/>
  <c r="AG85"/>
  <c r="AF85"/>
  <c r="AE85"/>
  <c r="AG84"/>
  <c r="AF84"/>
  <c r="AE84"/>
  <c r="AG83"/>
  <c r="AF83"/>
  <c r="AE83"/>
  <c r="AG82"/>
  <c r="AF82"/>
  <c r="AE82"/>
  <c r="AG81"/>
  <c r="AF81"/>
  <c r="AE81"/>
  <c r="AG80"/>
  <c r="AF80"/>
  <c r="AE80"/>
  <c r="AG79"/>
  <c r="AF79"/>
  <c r="AE79"/>
  <c r="AG78"/>
  <c r="AF78"/>
  <c r="AE78"/>
  <c r="AG77"/>
  <c r="AF77"/>
  <c r="AE77"/>
  <c r="AG76"/>
  <c r="AF76"/>
  <c r="AE76"/>
  <c r="AL169" l="1"/>
  <c r="AL155"/>
  <c r="AL144"/>
  <c r="AL153"/>
  <c r="AL204"/>
  <c r="AL192"/>
  <c r="AL189"/>
  <c r="AL171"/>
  <c r="AL226"/>
  <c r="AL212"/>
  <c r="AL205"/>
  <c r="AL151"/>
  <c r="AL218"/>
  <c r="AL139"/>
  <c r="AL225"/>
  <c r="AL128"/>
  <c r="AL168"/>
  <c r="AL191"/>
  <c r="AL188"/>
  <c r="AL203"/>
  <c r="AL181"/>
  <c r="AL190"/>
  <c r="AL186"/>
  <c r="AL172"/>
  <c r="AL157"/>
  <c r="AL135"/>
  <c r="AL208"/>
  <c r="AL185"/>
  <c r="AL183"/>
  <c r="AL177"/>
  <c r="AL173"/>
  <c r="AL166"/>
  <c r="AL143"/>
  <c r="AL161"/>
  <c r="AL197"/>
  <c r="AL233"/>
  <c r="AL210"/>
  <c r="AL147"/>
  <c r="AL131"/>
  <c r="AL187"/>
  <c r="AL200"/>
  <c r="AL178"/>
  <c r="AL159"/>
  <c r="AL211"/>
  <c r="AL199"/>
  <c r="AL193"/>
  <c r="AL179"/>
  <c r="AL167"/>
  <c r="AL162"/>
  <c r="AL231"/>
  <c r="AL227"/>
  <c r="AL184"/>
  <c r="AL163"/>
  <c r="AL138"/>
  <c r="AL149"/>
  <c r="AL136"/>
  <c r="AL137"/>
  <c r="AL156"/>
  <c r="AL130"/>
  <c r="AL207"/>
  <c r="AL221"/>
  <c r="AL217"/>
  <c r="AL216"/>
  <c r="AL214"/>
  <c r="AL206"/>
  <c r="AL202"/>
  <c r="AL164"/>
  <c r="AL145"/>
  <c r="AL141"/>
  <c r="AL133"/>
  <c r="AL129"/>
  <c r="AL228"/>
  <c r="AL196"/>
  <c r="AL150"/>
  <c r="AL213"/>
  <c r="AL219"/>
  <c r="AL198"/>
  <c r="AL209"/>
  <c r="AL194"/>
  <c r="AL180"/>
  <c r="AL234"/>
  <c r="AL229"/>
  <c r="AL182"/>
  <c r="AL158"/>
  <c r="AL222"/>
  <c r="AJ77"/>
  <c r="AJ79"/>
  <c r="AK79"/>
  <c r="AK80"/>
  <c r="AJ81"/>
  <c r="AJ83"/>
  <c r="AK83"/>
  <c r="AK85"/>
  <c r="AJ86"/>
  <c r="AJ88"/>
  <c r="AK88"/>
  <c r="AJ90"/>
  <c r="AL223"/>
  <c r="AL148"/>
  <c r="AL238"/>
  <c r="AL236"/>
  <c r="AL232"/>
  <c r="AL230"/>
  <c r="AL224"/>
  <c r="AL220"/>
  <c r="AL201"/>
  <c r="AL165"/>
  <c r="AL160"/>
  <c r="AL152"/>
  <c r="AL146"/>
  <c r="AL142"/>
  <c r="AL134"/>
  <c r="AL195"/>
  <c r="AL170"/>
  <c r="AL154"/>
  <c r="AK91"/>
  <c r="AK93"/>
  <c r="AK94"/>
  <c r="AJ95"/>
  <c r="AK95"/>
  <c r="AJ97"/>
  <c r="AK98"/>
  <c r="AJ99"/>
  <c r="AK99"/>
  <c r="AJ101"/>
  <c r="AK102"/>
  <c r="AJ103"/>
  <c r="AK103"/>
  <c r="AJ105"/>
  <c r="AK111"/>
  <c r="AK114"/>
  <c r="AJ115"/>
  <c r="AK115"/>
  <c r="AJ117"/>
  <c r="AK118"/>
  <c r="AJ119"/>
  <c r="AK119"/>
  <c r="AJ121"/>
  <c r="AK123"/>
  <c r="AJ124"/>
  <c r="AK124"/>
  <c r="AJ126"/>
  <c r="AK126"/>
  <c r="AL140"/>
  <c r="AL132"/>
  <c r="AL127"/>
  <c r="AJ76"/>
  <c r="AK89"/>
  <c r="AJ92"/>
  <c r="AJ94"/>
  <c r="AJ96"/>
  <c r="AK96"/>
  <c r="AK97"/>
  <c r="AJ98"/>
  <c r="AJ100"/>
  <c r="AK100"/>
  <c r="AK101"/>
  <c r="AJ102"/>
  <c r="AJ104"/>
  <c r="AK104"/>
  <c r="AK105"/>
  <c r="AJ106"/>
  <c r="AK106"/>
  <c r="AJ112"/>
  <c r="AJ114"/>
  <c r="AJ116"/>
  <c r="AK116"/>
  <c r="AK117"/>
  <c r="AJ118"/>
  <c r="AJ120"/>
  <c r="AK120"/>
  <c r="AK121"/>
  <c r="AJ123"/>
  <c r="AJ125"/>
  <c r="AL175"/>
  <c r="AK76"/>
  <c r="AK77"/>
  <c r="AJ78"/>
  <c r="AK78"/>
  <c r="AJ80"/>
  <c r="AK81"/>
  <c r="AJ82"/>
  <c r="AK82"/>
  <c r="AK84"/>
  <c r="AJ84" s="1"/>
  <c r="AL84" s="1"/>
  <c r="AJ85"/>
  <c r="AK86"/>
  <c r="AJ87"/>
  <c r="AK87"/>
  <c r="AJ89"/>
  <c r="AK90"/>
  <c r="AJ91"/>
  <c r="AJ93"/>
  <c r="AJ111"/>
  <c r="AG70"/>
  <c r="AF70"/>
  <c r="AE70"/>
  <c r="AL90" l="1"/>
  <c r="AL81"/>
  <c r="AL77"/>
  <c r="AL80"/>
  <c r="AL101"/>
  <c r="AL123"/>
  <c r="AL118"/>
  <c r="AL114"/>
  <c r="AL111"/>
  <c r="AL121"/>
  <c r="AL117"/>
  <c r="AL102"/>
  <c r="AL98"/>
  <c r="AL94"/>
  <c r="AL88"/>
  <c r="AL79"/>
  <c r="AL91"/>
  <c r="AL85"/>
  <c r="AL83"/>
  <c r="AL93"/>
  <c r="AL86"/>
  <c r="AL116"/>
  <c r="AL100"/>
  <c r="AJ70"/>
  <c r="AL89"/>
  <c r="AL120"/>
  <c r="AL104"/>
  <c r="AL96"/>
  <c r="AL103"/>
  <c r="AL99"/>
  <c r="AL95"/>
  <c r="AL76"/>
  <c r="AL105"/>
  <c r="AL97"/>
  <c r="AL126"/>
  <c r="AL124"/>
  <c r="AL119"/>
  <c r="AL115"/>
  <c r="AL87"/>
  <c r="AL82"/>
  <c r="AL78"/>
  <c r="AL106"/>
  <c r="AG67"/>
  <c r="AF67"/>
  <c r="AE67"/>
  <c r="AJ67" l="1"/>
  <c r="AK67"/>
  <c r="AG66"/>
  <c r="AF66"/>
  <c r="AE66"/>
  <c r="AG65"/>
  <c r="AF65"/>
  <c r="AE65"/>
  <c r="AG64"/>
  <c r="AF64"/>
  <c r="AE64"/>
  <c r="AG63"/>
  <c r="AF63"/>
  <c r="AE63"/>
  <c r="AG62"/>
  <c r="AF62"/>
  <c r="AE62"/>
  <c r="AG61"/>
  <c r="AF61"/>
  <c r="AE61"/>
  <c r="AG60"/>
  <c r="AF60"/>
  <c r="AE60"/>
  <c r="AG59"/>
  <c r="AF59"/>
  <c r="AE59"/>
  <c r="AG58"/>
  <c r="AF58"/>
  <c r="AE58"/>
  <c r="AG57"/>
  <c r="AF57"/>
  <c r="AE57"/>
  <c r="AG56"/>
  <c r="AF56"/>
  <c r="AE56"/>
  <c r="AG55"/>
  <c r="AF55"/>
  <c r="AE55"/>
  <c r="AG54"/>
  <c r="AF54"/>
  <c r="AE54"/>
  <c r="AG53"/>
  <c r="AF53"/>
  <c r="AE53"/>
  <c r="AG52"/>
  <c r="AF52"/>
  <c r="AE52"/>
  <c r="AG51"/>
  <c r="AF51"/>
  <c r="AE51"/>
  <c r="AG50"/>
  <c r="AF50"/>
  <c r="AE50"/>
  <c r="AG49"/>
  <c r="AF49"/>
  <c r="AE49"/>
  <c r="AG48"/>
  <c r="AF48"/>
  <c r="AE48"/>
  <c r="AG47"/>
  <c r="AF47"/>
  <c r="AE47"/>
  <c r="AG46"/>
  <c r="AF46"/>
  <c r="AE46"/>
  <c r="AG45"/>
  <c r="AF45"/>
  <c r="AE45"/>
  <c r="AG44"/>
  <c r="AF44"/>
  <c r="AE44"/>
  <c r="AG43"/>
  <c r="AF43"/>
  <c r="AE43"/>
  <c r="AG42"/>
  <c r="AF42"/>
  <c r="AE42"/>
  <c r="AG41"/>
  <c r="AF41"/>
  <c r="AE41"/>
  <c r="AL67" l="1"/>
  <c r="AJ42"/>
  <c r="AJ44"/>
  <c r="AK44"/>
  <c r="AJ46"/>
  <c r="AK46"/>
  <c r="AJ48"/>
  <c r="AK48"/>
  <c r="AJ50"/>
  <c r="AK50"/>
  <c r="AJ52"/>
  <c r="AK52"/>
  <c r="AJ54"/>
  <c r="AJ56"/>
  <c r="AK56"/>
  <c r="AJ58"/>
  <c r="AJ60"/>
  <c r="AK60"/>
  <c r="AJ62"/>
  <c r="AJ41"/>
  <c r="AJ43"/>
  <c r="AK43"/>
  <c r="AJ45"/>
  <c r="AK45"/>
  <c r="AJ47"/>
  <c r="AK47"/>
  <c r="AJ49"/>
  <c r="AJ51"/>
  <c r="AK51"/>
  <c r="AJ53"/>
  <c r="AK53"/>
  <c r="AJ55"/>
  <c r="AK55"/>
  <c r="AJ57"/>
  <c r="AK57"/>
  <c r="AJ59"/>
  <c r="AK59"/>
  <c r="AJ61"/>
  <c r="AK61"/>
  <c r="AJ63"/>
  <c r="AK63"/>
  <c r="AJ64"/>
  <c r="AK64"/>
  <c r="AK65"/>
  <c r="AJ66"/>
  <c r="AK66"/>
  <c r="AK54"/>
  <c r="AK58"/>
  <c r="AK62"/>
  <c r="AJ65"/>
  <c r="AK49"/>
  <c r="AG40"/>
  <c r="AF40"/>
  <c r="AE40"/>
  <c r="AG39"/>
  <c r="AF39"/>
  <c r="AE39"/>
  <c r="AG38"/>
  <c r="AF38"/>
  <c r="AE38"/>
  <c r="AG29"/>
  <c r="AF29"/>
  <c r="AE29"/>
  <c r="AG28"/>
  <c r="AF28"/>
  <c r="AE28"/>
  <c r="AG27"/>
  <c r="AF27"/>
  <c r="AE27"/>
  <c r="AG26"/>
  <c r="AF26"/>
  <c r="AE26"/>
  <c r="AK26" l="1"/>
  <c r="AJ27"/>
  <c r="AK27"/>
  <c r="AL51"/>
  <c r="AL46"/>
  <c r="AL57"/>
  <c r="AL43"/>
  <c r="AL58"/>
  <c r="AL49"/>
  <c r="AL47"/>
  <c r="AL60"/>
  <c r="AL56"/>
  <c r="AL52"/>
  <c r="AL50"/>
  <c r="AL48"/>
  <c r="AL44"/>
  <c r="AL62"/>
  <c r="AK38"/>
  <c r="AJ40"/>
  <c r="AK40"/>
  <c r="AL65"/>
  <c r="AL54"/>
  <c r="AL66"/>
  <c r="AL45"/>
  <c r="AJ28"/>
  <c r="AK29"/>
  <c r="AJ38"/>
  <c r="AL64"/>
  <c r="AL63"/>
  <c r="AL61"/>
  <c r="AL59"/>
  <c r="AL55"/>
  <c r="AL53"/>
  <c r="AK28"/>
  <c r="AJ29"/>
  <c r="AJ39"/>
  <c r="AK39"/>
  <c r="AJ26"/>
  <c r="AG25"/>
  <c r="AF25"/>
  <c r="AE25"/>
  <c r="AG24"/>
  <c r="AF24"/>
  <c r="AE24"/>
  <c r="AG23"/>
  <c r="AF23"/>
  <c r="AE23"/>
  <c r="AG22"/>
  <c r="AF22"/>
  <c r="AE22"/>
  <c r="AG21"/>
  <c r="AF21"/>
  <c r="AE21"/>
  <c r="AG20"/>
  <c r="AF20"/>
  <c r="AE20"/>
  <c r="AG19"/>
  <c r="AF19"/>
  <c r="AE19"/>
  <c r="AG18"/>
  <c r="AF18"/>
  <c r="AE18"/>
  <c r="AG17"/>
  <c r="AF17"/>
  <c r="AE17"/>
  <c r="AG16"/>
  <c r="AF16"/>
  <c r="AE16"/>
  <c r="AG15"/>
  <c r="AF15"/>
  <c r="AE15"/>
  <c r="AG14"/>
  <c r="AF14"/>
  <c r="AE14"/>
  <c r="AG13"/>
  <c r="AF13"/>
  <c r="AE13"/>
  <c r="AG12"/>
  <c r="AF12"/>
  <c r="AE12"/>
  <c r="AG11"/>
  <c r="AF11"/>
  <c r="AE11"/>
  <c r="AG10"/>
  <c r="AF10"/>
  <c r="AE10"/>
  <c r="AG9"/>
  <c r="AF9"/>
  <c r="AE9"/>
  <c r="AG8"/>
  <c r="AF8"/>
  <c r="AE8"/>
  <c r="AF7"/>
  <c r="AE7"/>
  <c r="AG4"/>
  <c r="AF4"/>
  <c r="AE4"/>
  <c r="AG3"/>
  <c r="AF3"/>
  <c r="AE3"/>
  <c r="AG2"/>
  <c r="AF2"/>
  <c r="AE2"/>
  <c r="AL38" l="1"/>
  <c r="AJ2"/>
  <c r="AL27"/>
  <c r="AJ12"/>
  <c r="AK12"/>
  <c r="AJ14"/>
  <c r="AK14"/>
  <c r="AJ16"/>
  <c r="AK16"/>
  <c r="AJ18"/>
  <c r="AK18"/>
  <c r="AJ20"/>
  <c r="AK20"/>
  <c r="AJ22"/>
  <c r="AK22"/>
  <c r="AL26"/>
  <c r="AG7"/>
  <c r="AG648" s="1"/>
  <c r="AF648"/>
  <c r="AK7"/>
  <c r="AJ8"/>
  <c r="AK8"/>
  <c r="AJ10"/>
  <c r="AK10"/>
  <c r="AJ25"/>
  <c r="AL28"/>
  <c r="AE648"/>
  <c r="AJ3"/>
  <c r="AK4"/>
  <c r="AJ9"/>
  <c r="AJ11"/>
  <c r="AJ13"/>
  <c r="AJ24"/>
  <c r="AL29"/>
  <c r="AK3"/>
  <c r="AL40"/>
  <c r="AJ4"/>
  <c r="AL39"/>
  <c r="AK25"/>
  <c r="AK9"/>
  <c r="AK11"/>
  <c r="AK13"/>
  <c r="AJ15"/>
  <c r="AK15"/>
  <c r="AJ17"/>
  <c r="AK17"/>
  <c r="AJ19"/>
  <c r="AK19"/>
  <c r="AJ21"/>
  <c r="AK21"/>
  <c r="AJ23"/>
  <c r="AK23"/>
  <c r="AJ7" l="1"/>
  <c r="AL7" s="1"/>
  <c r="AL25"/>
  <c r="AL4"/>
  <c r="AL8"/>
  <c r="AL18"/>
  <c r="AL13"/>
  <c r="AL22"/>
  <c r="AL14"/>
  <c r="AL20"/>
  <c r="AL16"/>
  <c r="AL12"/>
  <c r="AL10"/>
  <c r="AL9"/>
  <c r="AL3"/>
  <c r="AL19"/>
  <c r="AL15"/>
  <c r="AL11"/>
  <c r="AL23"/>
  <c r="AL21"/>
  <c r="AL17"/>
  <c r="AK24" l="1"/>
  <c r="AL24" s="1"/>
  <c r="AK41"/>
  <c r="AL41" s="1"/>
  <c r="AK42"/>
  <c r="AL42" s="1"/>
  <c r="AK70"/>
  <c r="AL70" s="1"/>
  <c r="AK92"/>
  <c r="AL92" s="1"/>
  <c r="AK112"/>
  <c r="AL112" s="1"/>
  <c r="AJ113"/>
  <c r="AK113"/>
  <c r="AK125"/>
  <c r="AL125" s="1"/>
  <c r="AK176"/>
  <c r="AL176" s="1"/>
  <c r="AK256"/>
  <c r="AL256" s="1"/>
  <c r="AK257"/>
  <c r="AL257" s="1"/>
  <c r="AK258"/>
  <c r="AL258" s="1"/>
  <c r="AK259"/>
  <c r="AL259" s="1"/>
  <c r="AK289"/>
  <c r="AL289" s="1"/>
  <c r="AK290"/>
  <c r="AL290" s="1"/>
  <c r="AK291"/>
  <c r="AL291" s="1"/>
  <c r="AJ319"/>
  <c r="AL113" l="1"/>
  <c r="Z6" i="11"/>
  <c r="Z2" s="1"/>
  <c r="AH305" i="6" s="1"/>
  <c r="AK305" s="1"/>
  <c r="AL305" s="1"/>
  <c r="AJ389"/>
  <c r="AJ648" s="1"/>
  <c r="AH393"/>
  <c r="AK393" s="1"/>
  <c r="AL393" s="1"/>
  <c r="AH428"/>
  <c r="AK428" s="1"/>
  <c r="AL428" s="1"/>
  <c r="AH444"/>
  <c r="AH493"/>
  <c r="AK493" s="1"/>
  <c r="AL493" s="1"/>
  <c r="AH498"/>
  <c r="AK498" s="1"/>
  <c r="AL498" s="1"/>
  <c r="AH516"/>
  <c r="AK516" s="1"/>
  <c r="AL516" s="1"/>
  <c r="AH567"/>
  <c r="AH569"/>
  <c r="AH581"/>
  <c r="AK581" s="1"/>
  <c r="AL581" s="1"/>
  <c r="AH616"/>
  <c r="Y8" i="11"/>
  <c r="Z8"/>
  <c r="AA8" s="1"/>
  <c r="AB8" s="1"/>
  <c r="AC8" s="1"/>
  <c r="AD8" s="1"/>
  <c r="AE8" s="1"/>
  <c r="X7"/>
  <c r="Y7" s="1"/>
  <c r="Z7" s="1"/>
  <c r="AA7" s="1"/>
  <c r="AB7" s="1"/>
  <c r="AC7" s="1"/>
  <c r="AD7" s="1"/>
  <c r="AE7" s="1"/>
  <c r="AH602" i="6" l="1"/>
  <c r="AK602" s="1"/>
  <c r="AL602" s="1"/>
  <c r="AH573"/>
  <c r="AK573" s="1"/>
  <c r="AL573" s="1"/>
  <c r="AH568"/>
  <c r="AH527"/>
  <c r="AK527" s="1"/>
  <c r="AL527" s="1"/>
  <c r="AH511"/>
  <c r="AK511" s="1"/>
  <c r="AL511" s="1"/>
  <c r="AH496"/>
  <c r="AK496" s="1"/>
  <c r="AL496" s="1"/>
  <c r="AH488"/>
  <c r="AK488" s="1"/>
  <c r="AL488" s="1"/>
  <c r="AH441"/>
  <c r="AK441" s="1"/>
  <c r="AL441" s="1"/>
  <c r="AH419"/>
  <c r="AK419" s="1"/>
  <c r="AL419" s="1"/>
  <c r="AH443"/>
  <c r="AH440"/>
  <c r="AH421"/>
  <c r="AK421" s="1"/>
  <c r="AL421" s="1"/>
  <c r="AH400"/>
  <c r="AK400" s="1"/>
  <c r="AL400" s="1"/>
  <c r="AH389"/>
  <c r="AH367"/>
  <c r="AK367" s="1"/>
  <c r="AL367" s="1"/>
  <c r="AH395"/>
  <c r="AK395" s="1"/>
  <c r="AL395" s="1"/>
  <c r="AH390"/>
  <c r="AH363"/>
  <c r="AH365"/>
  <c r="AH340"/>
  <c r="AK340" s="1"/>
  <c r="AL340" s="1"/>
  <c r="AH366"/>
  <c r="AH364"/>
  <c r="AH358"/>
  <c r="AH325"/>
  <c r="AK325" s="1"/>
  <c r="AL325" s="1"/>
  <c r="AH362"/>
  <c r="AH352"/>
  <c r="AK352" s="1"/>
  <c r="AL352" s="1"/>
  <c r="AH342"/>
  <c r="AK342" s="1"/>
  <c r="AL342" s="1"/>
  <c r="AH330"/>
  <c r="AK330" s="1"/>
  <c r="AL330" s="1"/>
  <c r="AH318"/>
  <c r="AH319"/>
  <c r="AK319" s="1"/>
  <c r="AL319" s="1"/>
  <c r="AH315"/>
  <c r="AK315" s="1"/>
  <c r="AL315" s="1"/>
  <c r="AH313"/>
  <c r="AK313" s="1"/>
  <c r="AL313" s="1"/>
  <c r="AH6"/>
  <c r="AK6" s="1"/>
  <c r="AL6" s="1"/>
  <c r="AH296"/>
  <c r="AH299"/>
  <c r="AH300"/>
  <c r="AH301"/>
  <c r="AH303"/>
  <c r="AK303" s="1"/>
  <c r="AL303" s="1"/>
  <c r="AH306"/>
  <c r="AK306" s="1"/>
  <c r="AL306" s="1"/>
  <c r="AH309"/>
  <c r="AH310"/>
  <c r="AH311"/>
  <c r="AH312"/>
  <c r="AK312" s="1"/>
  <c r="AL312" s="1"/>
  <c r="AH314"/>
  <c r="AK314" s="1"/>
  <c r="AL314" s="1"/>
  <c r="AH316"/>
  <c r="AH317"/>
  <c r="AK317" s="1"/>
  <c r="AL317" s="1"/>
  <c r="AH320"/>
  <c r="AH321"/>
  <c r="AH322"/>
  <c r="AK322" s="1"/>
  <c r="AL322" s="1"/>
  <c r="AH328"/>
  <c r="AK328" s="1"/>
  <c r="AL328" s="1"/>
  <c r="AH332"/>
  <c r="AK332" s="1"/>
  <c r="AL332" s="1"/>
  <c r="AH341"/>
  <c r="AK341" s="1"/>
  <c r="AL341" s="1"/>
  <c r="AH344"/>
  <c r="AH351"/>
  <c r="AK351" s="1"/>
  <c r="AL351" s="1"/>
  <c r="AH354"/>
  <c r="AH355"/>
  <c r="AH356"/>
  <c r="AK356" s="1"/>
  <c r="AL356" s="1"/>
  <c r="AH368"/>
  <c r="AH369"/>
  <c r="AH370"/>
  <c r="AH371"/>
  <c r="AH372"/>
  <c r="AH373"/>
  <c r="AH374"/>
  <c r="AH375"/>
  <c r="AH376"/>
  <c r="AH377"/>
  <c r="AH378"/>
  <c r="AH379"/>
  <c r="AH380"/>
  <c r="AH381"/>
  <c r="AH382"/>
  <c r="AH383"/>
  <c r="AH384"/>
  <c r="AH385"/>
  <c r="AH386"/>
  <c r="AH387"/>
  <c r="AH388"/>
  <c r="AH394"/>
  <c r="AK394" s="1"/>
  <c r="AL394" s="1"/>
  <c r="AH398"/>
  <c r="AK398" s="1"/>
  <c r="AL398" s="1"/>
  <c r="AH403"/>
  <c r="AH408"/>
  <c r="AH409"/>
  <c r="AH413"/>
  <c r="AH414"/>
  <c r="AH416"/>
  <c r="AH417"/>
  <c r="AK417" s="1"/>
  <c r="AL417" s="1"/>
  <c r="AH420"/>
  <c r="AK420" s="1"/>
  <c r="AL420" s="1"/>
  <c r="AH423"/>
  <c r="AH424"/>
  <c r="AH425"/>
  <c r="AH426"/>
  <c r="AH427"/>
  <c r="AK427" s="1"/>
  <c r="AL427" s="1"/>
  <c r="AH429"/>
  <c r="AH430"/>
  <c r="AH431"/>
  <c r="AH432"/>
  <c r="AH433"/>
  <c r="AH434"/>
  <c r="AH435"/>
  <c r="AH436"/>
  <c r="AH437"/>
  <c r="AH438"/>
  <c r="AH439"/>
  <c r="AK439" s="1"/>
  <c r="AL439" s="1"/>
  <c r="AH442"/>
  <c r="AK442" s="1"/>
  <c r="AL442" s="1"/>
  <c r="AH490"/>
  <c r="AK490" s="1"/>
  <c r="AL490" s="1"/>
  <c r="AH494"/>
  <c r="AK494" s="1"/>
  <c r="AL494" s="1"/>
  <c r="AH497"/>
  <c r="AK497" s="1"/>
  <c r="AL497" s="1"/>
  <c r="AH502"/>
  <c r="AK502" s="1"/>
  <c r="AL502" s="1"/>
  <c r="AH513"/>
  <c r="AK513" s="1"/>
  <c r="AL513" s="1"/>
  <c r="AH519"/>
  <c r="AK519" s="1"/>
  <c r="AL519" s="1"/>
  <c r="AH537"/>
  <c r="AH554"/>
  <c r="AH565"/>
  <c r="AK565" s="1"/>
  <c r="AL565" s="1"/>
  <c r="AH574"/>
  <c r="AK574" s="1"/>
  <c r="AL574" s="1"/>
  <c r="AH587"/>
  <c r="AK587" s="1"/>
  <c r="AL587" s="1"/>
  <c r="AH612"/>
  <c r="AK612" s="1"/>
  <c r="AL612" s="1"/>
  <c r="AH2"/>
  <c r="AH295"/>
  <c r="AA6" i="11"/>
  <c r="AB6" l="1"/>
  <c r="AA2"/>
  <c r="AK2" i="6"/>
  <c r="AH648"/>
  <c r="AC6" i="11" l="1"/>
  <c r="AB2"/>
  <c r="AL2" i="6"/>
  <c r="AD6" i="11" l="1"/>
  <c r="AC2"/>
  <c r="AD2" l="1"/>
  <c r="AE6"/>
  <c r="AE2" s="1"/>
  <c r="AI318" i="6" l="1"/>
  <c r="AK318" s="1"/>
  <c r="AL318" s="1"/>
  <c r="AI358"/>
  <c r="AK358" s="1"/>
  <c r="AL358" s="1"/>
  <c r="AI362"/>
  <c r="AK362" s="1"/>
  <c r="AL362" s="1"/>
  <c r="AI363"/>
  <c r="AK363" s="1"/>
  <c r="AL363" s="1"/>
  <c r="AI364"/>
  <c r="AK364" s="1"/>
  <c r="AL364" s="1"/>
  <c r="AI365"/>
  <c r="AK365" s="1"/>
  <c r="AL365" s="1"/>
  <c r="AI366"/>
  <c r="AK366" s="1"/>
  <c r="AL366" s="1"/>
  <c r="AI389"/>
  <c r="AK389" s="1"/>
  <c r="AL389" s="1"/>
  <c r="AI390"/>
  <c r="AK390" s="1"/>
  <c r="AL390" s="1"/>
  <c r="AI440"/>
  <c r="AK440" s="1"/>
  <c r="AL440" s="1"/>
  <c r="AI443"/>
  <c r="AK443" s="1"/>
  <c r="AL443" s="1"/>
  <c r="AI444"/>
  <c r="AK444" s="1"/>
  <c r="AL444" s="1"/>
  <c r="AI567"/>
  <c r="AK567" s="1"/>
  <c r="AL567" s="1"/>
  <c r="AI568"/>
  <c r="AK568" s="1"/>
  <c r="AL568" s="1"/>
  <c r="AI569"/>
  <c r="AK569" s="1"/>
  <c r="AL569" s="1"/>
  <c r="AI616"/>
  <c r="AK616" s="1"/>
  <c r="AL616" s="1"/>
  <c r="AI295"/>
  <c r="AI296"/>
  <c r="AK296" s="1"/>
  <c r="AL296" s="1"/>
  <c r="AI299"/>
  <c r="AK299" s="1"/>
  <c r="AL299" s="1"/>
  <c r="AI300"/>
  <c r="AK300" s="1"/>
  <c r="AL300" s="1"/>
  <c r="AI301"/>
  <c r="AK301" s="1"/>
  <c r="AL301" s="1"/>
  <c r="AI308"/>
  <c r="AK308" s="1"/>
  <c r="AL308" s="1"/>
  <c r="AI309"/>
  <c r="AK309" s="1"/>
  <c r="AL309" s="1"/>
  <c r="AI310"/>
  <c r="AK310" s="1"/>
  <c r="AL310" s="1"/>
  <c r="AI311"/>
  <c r="AK311" s="1"/>
  <c r="AL311" s="1"/>
  <c r="AI316"/>
  <c r="AK316" s="1"/>
  <c r="AL316" s="1"/>
  <c r="AI354"/>
  <c r="AK354" s="1"/>
  <c r="AL354" s="1"/>
  <c r="AI355"/>
  <c r="AK355" s="1"/>
  <c r="AL355" s="1"/>
  <c r="AI403"/>
  <c r="AK403" s="1"/>
  <c r="AL403" s="1"/>
  <c r="AI408"/>
  <c r="AK408" s="1"/>
  <c r="AL408" s="1"/>
  <c r="AI409"/>
  <c r="AK409" s="1"/>
  <c r="AL409" s="1"/>
  <c r="AI413"/>
  <c r="AK413" s="1"/>
  <c r="AL413" s="1"/>
  <c r="AI414"/>
  <c r="AK414" s="1"/>
  <c r="AL414" s="1"/>
  <c r="AI416"/>
  <c r="AK416" s="1"/>
  <c r="AL416" s="1"/>
  <c r="AI423"/>
  <c r="AK423" s="1"/>
  <c r="AL423" s="1"/>
  <c r="AI424"/>
  <c r="AK424" s="1"/>
  <c r="AL424" s="1"/>
  <c r="AI425"/>
  <c r="AK425" s="1"/>
  <c r="AL425" s="1"/>
  <c r="AI426"/>
  <c r="AK426" s="1"/>
  <c r="AL426" s="1"/>
  <c r="AI537"/>
  <c r="AK537" s="1"/>
  <c r="AL537" s="1"/>
  <c r="AI320"/>
  <c r="AK320" s="1"/>
  <c r="AL320" s="1"/>
  <c r="AI321"/>
  <c r="AK321" s="1"/>
  <c r="AL321" s="1"/>
  <c r="AI344"/>
  <c r="AK344" s="1"/>
  <c r="AL344" s="1"/>
  <c r="AI368"/>
  <c r="AK368" s="1"/>
  <c r="AL368" s="1"/>
  <c r="AI369"/>
  <c r="AK369" s="1"/>
  <c r="AL369" s="1"/>
  <c r="AI370"/>
  <c r="AK370" s="1"/>
  <c r="AL370" s="1"/>
  <c r="AI371"/>
  <c r="AK371" s="1"/>
  <c r="AL371" s="1"/>
  <c r="AI372"/>
  <c r="AK372" s="1"/>
  <c r="AL372" s="1"/>
  <c r="AI373"/>
  <c r="AK373" s="1"/>
  <c r="AL373" s="1"/>
  <c r="AI374"/>
  <c r="AK374" s="1"/>
  <c r="AL374" s="1"/>
  <c r="AI375"/>
  <c r="AK375" s="1"/>
  <c r="AL375" s="1"/>
  <c r="AI376"/>
  <c r="AK376" s="1"/>
  <c r="AL376" s="1"/>
  <c r="AI377"/>
  <c r="AK377" s="1"/>
  <c r="AL377" s="1"/>
  <c r="AI378"/>
  <c r="AK378" s="1"/>
  <c r="AL378" s="1"/>
  <c r="AI379"/>
  <c r="AK379" s="1"/>
  <c r="AL379" s="1"/>
  <c r="AI380"/>
  <c r="AK380" s="1"/>
  <c r="AL380" s="1"/>
  <c r="AI381"/>
  <c r="AK381" s="1"/>
  <c r="AL381" s="1"/>
  <c r="AI382"/>
  <c r="AK382" s="1"/>
  <c r="AL382" s="1"/>
  <c r="AI383"/>
  <c r="AK383" s="1"/>
  <c r="AL383" s="1"/>
  <c r="AI384"/>
  <c r="AK384" s="1"/>
  <c r="AL384" s="1"/>
  <c r="AI385"/>
  <c r="AK385" s="1"/>
  <c r="AL385" s="1"/>
  <c r="AI386"/>
  <c r="AK386" s="1"/>
  <c r="AL386" s="1"/>
  <c r="AI387"/>
  <c r="AK387" s="1"/>
  <c r="AL387" s="1"/>
  <c r="AI388"/>
  <c r="AK388" s="1"/>
  <c r="AL388" s="1"/>
  <c r="AI429"/>
  <c r="AK429" s="1"/>
  <c r="AL429" s="1"/>
  <c r="AI430"/>
  <c r="AK430" s="1"/>
  <c r="AL430" s="1"/>
  <c r="AI431"/>
  <c r="AK431" s="1"/>
  <c r="AL431" s="1"/>
  <c r="AI432"/>
  <c r="AK432" s="1"/>
  <c r="AL432" s="1"/>
  <c r="AI433"/>
  <c r="AK433" s="1"/>
  <c r="AL433" s="1"/>
  <c r="AI434"/>
  <c r="AK434" s="1"/>
  <c r="AL434" s="1"/>
  <c r="AI435"/>
  <c r="AK435" s="1"/>
  <c r="AL435" s="1"/>
  <c r="AI436"/>
  <c r="AK436" s="1"/>
  <c r="AL436" s="1"/>
  <c r="AI437"/>
  <c r="AK437" s="1"/>
  <c r="AL437" s="1"/>
  <c r="AI438"/>
  <c r="AK438" s="1"/>
  <c r="AL438" s="1"/>
  <c r="AI554"/>
  <c r="AK554" s="1"/>
  <c r="AL554" s="1"/>
  <c r="AI648" l="1"/>
  <c r="AK295"/>
  <c r="AL295" l="1"/>
  <c r="AL648" s="1"/>
  <c r="AK648"/>
</calcChain>
</file>

<file path=xl/sharedStrings.xml><?xml version="1.0" encoding="utf-8"?>
<sst xmlns="http://schemas.openxmlformats.org/spreadsheetml/2006/main" count="9969" uniqueCount="1349">
  <si>
    <t>Sector</t>
  </si>
  <si>
    <t>Region</t>
  </si>
  <si>
    <t>Asset Ownership</t>
  </si>
  <si>
    <t>Funding Source(s)</t>
  </si>
  <si>
    <t>Total capex cost all funding (£m)</t>
  </si>
  <si>
    <t>Total capex cost publicly funded, if different (£m)</t>
  </si>
  <si>
    <t>UK</t>
  </si>
  <si>
    <t>Private</t>
  </si>
  <si>
    <t>No</t>
  </si>
  <si>
    <t>Started</t>
  </si>
  <si>
    <t>Yes</t>
  </si>
  <si>
    <t>Confirmed</t>
  </si>
  <si>
    <t>Nominal</t>
  </si>
  <si>
    <t>Estimated</t>
  </si>
  <si>
    <t>Yorkshire &amp; the Humber</t>
  </si>
  <si>
    <t>Public</t>
  </si>
  <si>
    <t>South West</t>
  </si>
  <si>
    <t>Scotland</t>
  </si>
  <si>
    <t>West Midlands</t>
  </si>
  <si>
    <t>Constant</t>
  </si>
  <si>
    <t>East Midlands</t>
  </si>
  <si>
    <t>North West</t>
  </si>
  <si>
    <t>North East</t>
  </si>
  <si>
    <t>Wales</t>
  </si>
  <si>
    <t>London</t>
  </si>
  <si>
    <t>South East</t>
  </si>
  <si>
    <t>East of England</t>
  </si>
  <si>
    <t>TBC</t>
  </si>
  <si>
    <t>2009/10</t>
  </si>
  <si>
    <t>various</t>
  </si>
  <si>
    <t>Flood</t>
  </si>
  <si>
    <t>Remaining schemes and strategies by region</t>
  </si>
  <si>
    <t>Other capital projects</t>
  </si>
  <si>
    <t>Broadland PPPP</t>
  </si>
  <si>
    <t>The project covers all matters related to flood defence services associated with the Broadland tidal river system, including maintenance, emergency response, strategic planning, design and improvement works.</t>
  </si>
  <si>
    <t>Implement the results of the Framework For Action, i.e. PAR recommendations.  The project is likely to require replacement of  the existing vertical walled defences with improved hydraulically efficient defences, with the intention of protecting and raising beach levels, reducing long term damage and reducing overtopping and breach potential.</t>
  </si>
  <si>
    <t>2010/11</t>
  </si>
  <si>
    <t>Research</t>
  </si>
  <si>
    <t>Transport</t>
  </si>
  <si>
    <t>England</t>
  </si>
  <si>
    <t>Other</t>
  </si>
  <si>
    <t>2013/14</t>
  </si>
  <si>
    <t>Waste</t>
  </si>
  <si>
    <t>Hertfordshire County Council</t>
  </si>
  <si>
    <t>Leeds City Council</t>
  </si>
  <si>
    <t>Norfolk County Council</t>
  </si>
  <si>
    <t>Staffordshire County Council</t>
  </si>
  <si>
    <t>Suffolk County Council</t>
  </si>
  <si>
    <t>Surrey County Council</t>
  </si>
  <si>
    <t>Gloucestershire County Council</t>
  </si>
  <si>
    <t>Data source(s)</t>
  </si>
  <si>
    <t>Basis of costs</t>
  </si>
  <si>
    <t>Estimate status</t>
  </si>
  <si>
    <t>Sub-Group</t>
  </si>
  <si>
    <t>Sub-Sector</t>
  </si>
  <si>
    <t>N/A</t>
  </si>
  <si>
    <t>Yorkshire &amp; The Humber</t>
  </si>
  <si>
    <t>East Of England</t>
  </si>
  <si>
    <t>Boston Barrage/Barrier Works</t>
  </si>
  <si>
    <t>A multi functional barrier within Boston Haven: dual function of partial tidal exclusion barrage for water level control to enable safe navigation and tidal surge barrier.</t>
  </si>
  <si>
    <t>Rossall Coastal Defence Improvement Scheme</t>
  </si>
  <si>
    <t>Anglian Central RFCC</t>
  </si>
  <si>
    <t>Anglian Eastern RFCC</t>
  </si>
  <si>
    <t>Anglian Northern RFCC</t>
  </si>
  <si>
    <t>North West RFCC</t>
  </si>
  <si>
    <t>Northumbria RFCC</t>
  </si>
  <si>
    <t>South West RFCC</t>
  </si>
  <si>
    <t>Southern RFCC</t>
  </si>
  <si>
    <t>Thames RFCC</t>
  </si>
  <si>
    <t>Wessex RFCC</t>
  </si>
  <si>
    <t>Yorkshire RFCC</t>
  </si>
  <si>
    <t>Notes (including details where "other" given in response to earlier questions)</t>
  </si>
  <si>
    <t>Local Authority Major Schemes - Committed and Approved</t>
  </si>
  <si>
    <t>DfT capital funding for large transport capital projects promoted by Local Authorities outside of London</t>
  </si>
  <si>
    <t>DfT records</t>
  </si>
  <si>
    <t>Local Authority Major Schemes - Development Pool</t>
  </si>
  <si>
    <t>Mersey Gateway</t>
  </si>
  <si>
    <t>Construction of new crossing over River Mersey between Runcorn and Widnes, involves tolling new and existing bridge</t>
  </si>
  <si>
    <t>Integrated Transport Block</t>
  </si>
  <si>
    <t>DfT capital funding for local authority small scale transport schemes outside of London, allocated by formula</t>
  </si>
  <si>
    <t>DfT bid-based funding pot (capital and resource) for sustainable transport schemes  promoted by local authorities outside of London</t>
  </si>
  <si>
    <t>DfT capital funding provided to local highway authorities outside of London for highways maintenance, allocated by formula</t>
  </si>
  <si>
    <t>A6 to Manchester Airport Relief Road</t>
  </si>
  <si>
    <t>Roads - HA Majors</t>
  </si>
  <si>
    <t>Managed motorway project</t>
  </si>
  <si>
    <t>After 2015</t>
  </si>
  <si>
    <t>Highways Agency Major Projects Portfolio Office</t>
  </si>
  <si>
    <t>A160 / A180 Immingham</t>
  </si>
  <si>
    <t>Trunk road improvement project</t>
  </si>
  <si>
    <t>A19 Testos</t>
  </si>
  <si>
    <t>A21 Tonbridge to Pembury</t>
  </si>
  <si>
    <t>A27 Chichester Bypass</t>
  </si>
  <si>
    <t>A38 Derby Junctions</t>
  </si>
  <si>
    <t>A5-M1 Link Road</t>
  </si>
  <si>
    <t>A63 Castle Street</t>
  </si>
  <si>
    <t>M25 Junction 30</t>
  </si>
  <si>
    <t>M1 / M6 Junction 19 Improvement</t>
  </si>
  <si>
    <t>M6 Junctions 10a to 13</t>
  </si>
  <si>
    <t>2015/2016</t>
  </si>
  <si>
    <t>A14 Kettering Bypass</t>
  </si>
  <si>
    <t>A45 / A46 Tollbar End</t>
  </si>
  <si>
    <t>A453 Widening</t>
  </si>
  <si>
    <t>M3 Junctions 2 to 4a</t>
  </si>
  <si>
    <t>SR10 committed starts</t>
  </si>
  <si>
    <t>M1 Junctions 28 to 31</t>
  </si>
  <si>
    <t>M1 Junctions 32 to 35a</t>
  </si>
  <si>
    <t>M1 Junctions 39 to 42</t>
  </si>
  <si>
    <t>2014/2015</t>
  </si>
  <si>
    <t>M25 Junctions 5 to 6/7</t>
  </si>
  <si>
    <t>M25 Junctions 23 to 27</t>
  </si>
  <si>
    <t>M4 J19 - 20 to M5 J15 - 17</t>
  </si>
  <si>
    <t>M6 Junctions 5 to 8</t>
  </si>
  <si>
    <t>A11 Fiveways to Thetford</t>
  </si>
  <si>
    <t>A23 Handcross to Warninglid</t>
  </si>
  <si>
    <t>A556 Knutsford to Bowdon</t>
  </si>
  <si>
    <t>Managed Motorway &amp; Traditional project</t>
  </si>
  <si>
    <t>M54 / M6 / M6 Toll</t>
  </si>
  <si>
    <t>M20 Junction 10a</t>
  </si>
  <si>
    <t>Roads - HA Renewals</t>
  </si>
  <si>
    <t>HA renewals</t>
  </si>
  <si>
    <t>Highway Agency capital renewals</t>
  </si>
  <si>
    <t>Does not include maintenance</t>
  </si>
  <si>
    <t>Highways Agency estimates supplied to ERG</t>
  </si>
  <si>
    <t>Does not include maintenance - figures in annual report do</t>
  </si>
  <si>
    <t>OD3:A3 CLANFIELD SB LOW TEXT C</t>
  </si>
  <si>
    <t>Roads - Pavement Strengthening</t>
  </si>
  <si>
    <t>M5 J13 STROUDWATERI/C BRIDGE C</t>
  </si>
  <si>
    <t>Structures - Bridge and Large Culvert</t>
  </si>
  <si>
    <t>PFI Projects</t>
  </si>
  <si>
    <t>Herefordshire &amp; Worcestershire</t>
  </si>
  <si>
    <t>Waste Management Project</t>
  </si>
  <si>
    <t xml:space="preserve">Quest Waste Disposal Project </t>
  </si>
  <si>
    <t>Cornwall</t>
  </si>
  <si>
    <t>Waste Management Procurement</t>
  </si>
  <si>
    <t>Shropshire Waste Partnership</t>
  </si>
  <si>
    <t>Integrated Waste Contract</t>
  </si>
  <si>
    <t>Greater Manchester Waste Disposal Authority</t>
  </si>
  <si>
    <t>Suffolk Waste Management Project</t>
  </si>
  <si>
    <t>Staffordshire Waste Management Project</t>
  </si>
  <si>
    <t>Wakefield Metropolitan District Council</t>
  </si>
  <si>
    <t>Semi Integrated  Waste Management Project</t>
  </si>
  <si>
    <t>North Yorkshire &amp; City of York</t>
  </si>
  <si>
    <t>Bradford Metropolitan District Council</t>
  </si>
  <si>
    <t>Bradford Waste Treatment Services Project</t>
  </si>
  <si>
    <t>Essex County Council &amp; Southend Borough Council</t>
  </si>
  <si>
    <t>Essex County Council and Southend-on-Sea Waste Management Project</t>
  </si>
  <si>
    <t>Hertfordshire County Council Waste Management Services</t>
  </si>
  <si>
    <t xml:space="preserve">Leeds Residual Waste Treatment Project </t>
  </si>
  <si>
    <t>Norfolk Waste Management Project</t>
  </si>
  <si>
    <t>South West Devon Waste Partnership (Plymouth/Torbay/Devon*)</t>
  </si>
  <si>
    <t>South West Devon Waste Partnership (SWDWP) Waste Management Project</t>
  </si>
  <si>
    <t>Barnsley Doncaster Rotherham (BDR)</t>
  </si>
  <si>
    <t>South Yorks Waste PFI</t>
  </si>
  <si>
    <t>South Tyne &amp; Wear Partnership</t>
  </si>
  <si>
    <t>ST&amp;W Waste Management Partnership</t>
  </si>
  <si>
    <t>Merseyside Waste DA</t>
  </si>
  <si>
    <t>PPP Projects</t>
  </si>
  <si>
    <t xml:space="preserve">South London Waste Partnership </t>
  </si>
  <si>
    <t>Waste Management
Procurement</t>
  </si>
  <si>
    <t>WIDP Reporting and from Authority direct</t>
  </si>
  <si>
    <t>Gloucestershire County Council Waste Management project</t>
  </si>
  <si>
    <t>Oxfordshire CC - Ardley</t>
  </si>
  <si>
    <t>Direct from project/Authority</t>
  </si>
  <si>
    <t>Buckinghamshire</t>
  </si>
  <si>
    <t>Variable</t>
  </si>
  <si>
    <t>Roads- LA Majors</t>
  </si>
  <si>
    <t>Trunk road improvement project (including junction improvement)</t>
  </si>
  <si>
    <t>Junction improvement project</t>
  </si>
  <si>
    <t>Bypass Project</t>
  </si>
  <si>
    <t>Rail</t>
  </si>
  <si>
    <t>Crossrail</t>
  </si>
  <si>
    <t>High Speed Rail</t>
  </si>
  <si>
    <t>National high speed rail network (phase one) - construction</t>
  </si>
  <si>
    <t xml:space="preserve">Line from London Euston to the West Midlands with new stations at Old Oak Common, Birmingham Interchange and Birmingham Curzon Street. Direct connections onto the West Coast Main Line for services to the NW and Scotland, and onto HS1 for services to the Continent. The design capability of the line would 250 miles per hour, but with an operating limit of 225 miles per hour at opening.
</t>
  </si>
  <si>
    <t>National high speed rail network (phase two) - construction</t>
  </si>
  <si>
    <t>Separate lines from West Midlands to Leeds and Manchester, with intermediate stations in the East Midlands and South Yorkshire. Direct connections to Heathrow and onto the West and East Coast main lines for services to the NW, NE and Scotland.</t>
  </si>
  <si>
    <t>Network Rail</t>
  </si>
  <si>
    <t>National Stations Improvement Programme</t>
  </si>
  <si>
    <t>Strategic freight network</t>
  </si>
  <si>
    <t>Access for All Main Programme</t>
  </si>
  <si>
    <t>WCML improvements programme</t>
  </si>
  <si>
    <t>Reading</t>
  </si>
  <si>
    <t xml:space="preserve">Birmingham New Street </t>
  </si>
  <si>
    <t>Southern train lengthening</t>
  </si>
  <si>
    <t>ECML improvements programme</t>
  </si>
  <si>
    <t>Midlands improvements programme</t>
  </si>
  <si>
    <t>Northern Urban Centres - Yorkshire</t>
  </si>
  <si>
    <t>Northern Urban Centres - Manchester</t>
  </si>
  <si>
    <t>Western improvements programme</t>
  </si>
  <si>
    <t>2007/08</t>
  </si>
  <si>
    <t>Information taken from published NERL 10 year plan March 2010. For year 2015 - 2020; £978m is the sum of financial years 2015/16 - 2019/20 plus 9 months of financial year 2020/21</t>
  </si>
  <si>
    <t>Investment in air traffic control infrastructure</t>
  </si>
  <si>
    <t>NATS</t>
  </si>
  <si>
    <t>Airports</t>
  </si>
  <si>
    <t>Bristol Airport</t>
  </si>
  <si>
    <t>Bristol</t>
  </si>
  <si>
    <t>Public airport company (PAC) - 49% public, 48.25% private, 2.75% employee</t>
  </si>
  <si>
    <t>Birmingham Airport</t>
  </si>
  <si>
    <t>Assume spread evenly over a two year period</t>
  </si>
  <si>
    <t>DfT</t>
  </si>
  <si>
    <t>New terminal and runway extension</t>
  </si>
  <si>
    <t>Lydd</t>
  </si>
  <si>
    <t>Assume spread evenly over 10 year period</t>
  </si>
  <si>
    <t>10 year investment plan</t>
  </si>
  <si>
    <t>Glasgow</t>
  </si>
  <si>
    <t>CAA (Q5 recommendations)</t>
  </si>
  <si>
    <t>Based on December 2009 statement to investors, excluding new runway development (Source: CAA Q5 recommendations)</t>
  </si>
  <si>
    <t>Stansted Capital Investment Programme</t>
  </si>
  <si>
    <t>Investment programme for current regulatory period (Source: CAA Q5 Decision)</t>
  </si>
  <si>
    <t>Investment programme for current regulatory period (Source: CAA Q5 Decision and Q5+1 Doc)</t>
  </si>
  <si>
    <t>Intellectual capital</t>
  </si>
  <si>
    <t>Communications</t>
  </si>
  <si>
    <t>Broadcasting</t>
  </si>
  <si>
    <t>Digital Radio extension</t>
  </si>
  <si>
    <t>Fixed line</t>
  </si>
  <si>
    <t>BT Superfast Fibre Access programme</t>
  </si>
  <si>
    <t>Investment by BT across the UK to install Fibre to the Cabinet to approx two thirds of premises by 2015</t>
  </si>
  <si>
    <t>BT release, confirmed in financial statements</t>
  </si>
  <si>
    <t>Mobile</t>
  </si>
  <si>
    <t>Upgrade of mobile networks as a result of the release of the so called digital dividend spectrum (800MHz and 2.6 Ghz)</t>
  </si>
  <si>
    <t>Other digital communications</t>
  </si>
  <si>
    <t>Balancing item</t>
  </si>
  <si>
    <t>Balancing item to cover general communications investment</t>
  </si>
  <si>
    <t>To ensure consistency with earlier approach, use ONS estimates for sector investment to add to total investment</t>
  </si>
  <si>
    <t>ONS - Capital Stocks, Capital Consumption and Non-Financial Balance Sheets. 4.1.1 Gross fixed capital formation by asset and industry - Post &amp; Telecommunications Plant and Machinery (JGRK)</t>
  </si>
  <si>
    <t>Rural broadband</t>
  </si>
  <si>
    <t>BDUK rural broadband investment</t>
  </si>
  <si>
    <t>Programme to invest £530m of central government money and similar level of local funding to support broadband infrastructure investment in places where the private sector would not otherwise go</t>
  </si>
  <si>
    <t>BDUK programme documents</t>
  </si>
  <si>
    <t>Cornwall Broadband project</t>
  </si>
  <si>
    <t>County wide project in Cornwall to provide superfast broadband - expected to provide up to 90% coverage</t>
  </si>
  <si>
    <t>Energy</t>
  </si>
  <si>
    <t>2011/12</t>
  </si>
  <si>
    <t>CPI</t>
  </si>
  <si>
    <t>RPI</t>
  </si>
  <si>
    <t>Base index</t>
  </si>
  <si>
    <t>Can be GDP, RPI or CPI</t>
  </si>
  <si>
    <t>GDP</t>
  </si>
  <si>
    <t>Deflator</t>
  </si>
  <si>
    <t>Base_year</t>
  </si>
  <si>
    <t>GDP deflator</t>
  </si>
  <si>
    <t>2021/22</t>
  </si>
  <si>
    <t>2020/21</t>
  </si>
  <si>
    <t>2019/20</t>
  </si>
  <si>
    <t>2018/19</t>
  </si>
  <si>
    <t>2017/18</t>
  </si>
  <si>
    <t>2016/17</t>
  </si>
  <si>
    <t>2015/16</t>
  </si>
  <si>
    <t>2014/15</t>
  </si>
  <si>
    <t>2012/13</t>
  </si>
  <si>
    <t>2008/09</t>
  </si>
  <si>
    <t>2006/07</t>
  </si>
  <si>
    <t>2005/06</t>
  </si>
  <si>
    <t>2004/05</t>
  </si>
  <si>
    <t>2003/04</t>
  </si>
  <si>
    <t>2002/03</t>
  </si>
  <si>
    <t>2001/02</t>
  </si>
  <si>
    <t>2000/01</t>
  </si>
  <si>
    <t>1999/00</t>
  </si>
  <si>
    <t>1998/99</t>
  </si>
  <si>
    <t>1997/98</t>
  </si>
  <si>
    <t>1996/97</t>
  </si>
  <si>
    <t>1995/96</t>
  </si>
  <si>
    <t>1994/95</t>
  </si>
  <si>
    <t>1994/93</t>
  </si>
  <si>
    <t>1992/93</t>
  </si>
  <si>
    <t>2012/13c</t>
  </si>
  <si>
    <t>2013/14c</t>
  </si>
  <si>
    <t>2014/15c</t>
  </si>
  <si>
    <t>Beyond 2020c</t>
  </si>
  <si>
    <t>Baseyear</t>
  </si>
  <si>
    <t>Value</t>
  </si>
  <si>
    <t>Base Year</t>
  </si>
  <si>
    <t xml:space="preserve">Investment to signficantly improve the coveage of local DAB radio coverage across the UK.  This is intended to support a future decision on radio switchover.  </t>
  </si>
  <si>
    <t>Arqiva financial statements.</t>
  </si>
  <si>
    <t>This is the expected investment to be made by the Mobile Network Operators (MNOs) as a result of the auction of spectrum in the 800Mhz and 2.6Ghz bands in 2013.  Implementation expected to be largely complete by end 2015.  Each mobile network has been calculating what the upgrade will cost, but these figures are commercially sensitive and so have not been released.  A general estimate for the industry based on top down estimates is £3-4bn over 5 years.</t>
  </si>
  <si>
    <t xml:space="preserve">ERDF funded project. Roll-out is progressing well and is expected to go further than original target. </t>
  </si>
  <si>
    <t>Investing in Britain: //www.gov.uk/government/uploads/system/uploads/attachment_data/file/209279/PU1524_IUK_new_template.pdf  (June 27 2013)</t>
  </si>
  <si>
    <t>nominal</t>
  </si>
  <si>
    <t xml:space="preserve">Greater Manchester Waste Disposal </t>
  </si>
  <si>
    <t xml:space="preserve">Central Bedfordshire </t>
  </si>
  <si>
    <t>Bedfordshire Energy and Recycling (BEaR) Project</t>
  </si>
  <si>
    <t>Public/Private</t>
  </si>
  <si>
    <t>Buckinghamshire Waste management project</t>
  </si>
  <si>
    <t xml:space="preserve">Derby City Council and Derbyshire County Council </t>
  </si>
  <si>
    <t>Resource Recovery Solutions (Derbyshire)  - Sinfin Lane</t>
  </si>
  <si>
    <t>Devon CC - Devon, Exeter energy from waste</t>
  </si>
  <si>
    <t>Ferrybridge</t>
  </si>
  <si>
    <t>Ferrybridge multifuel project</t>
  </si>
  <si>
    <t>Lincolnshire CC waste PPP</t>
  </si>
  <si>
    <t>Lincolnshire Energy from Waste Facility - North Hykeham</t>
  </si>
  <si>
    <t xml:space="preserve">Defra withdrew the provisional offer of Waste Infrastructure Credits (WIC) to Merseyside Recycling and Waste Disposal Authority in February 2013, which is still in procurement. This project is now classed as PPP project. </t>
  </si>
  <si>
    <t>Milton Keynes Waste Management Project</t>
  </si>
  <si>
    <t>North Lincolnshire Waste Management Project</t>
  </si>
  <si>
    <t xml:space="preserve">Defra withdrew the provisional offer of Waste Infrastructure Credits (WIC) to North Yorkshire &amp; City of York in February 2013, which is still in procurement. This project is now classed as PPP project. </t>
  </si>
  <si>
    <t>Oxfordshire waste management</t>
  </si>
  <si>
    <t>Peterborough City Council Waste PPP Project</t>
  </si>
  <si>
    <t>West Sussex County Council Waste Management</t>
  </si>
  <si>
    <t>West London Waste Authority</t>
  </si>
  <si>
    <t>Wigan Council Waste to Energy project</t>
  </si>
  <si>
    <t>Wiltshire Council  Waste PPP project</t>
  </si>
  <si>
    <t>Schemes scheduled to start after 2015/16 and funding has yet to be allocated and scheme forecasts have yet to be established</t>
  </si>
  <si>
    <t>November 2011 Autumn Statement (Growth Scheme)</t>
  </si>
  <si>
    <t>2013/2014 (Q4)</t>
  </si>
  <si>
    <t>November 2011 Autumn Statement (Growth Scheme) &amp; November 2012 Autumn Statement (Pilot Acceleration)</t>
  </si>
  <si>
    <t>November 2012 Autumn Statement (Funded for Delivery)</t>
  </si>
  <si>
    <t>A1 Leeming to Barton</t>
  </si>
  <si>
    <t>Widening</t>
  </si>
  <si>
    <t>A1 Lobley Hill</t>
  </si>
  <si>
    <t>A30 Temple Carblake</t>
  </si>
  <si>
    <t>Dualling</t>
  </si>
  <si>
    <t>November 2012 Autumn Statement (Pilot Acceleration Scheme)</t>
  </si>
  <si>
    <t>SR13 Funded for Delivery</t>
  </si>
  <si>
    <t>M4 J3 - J12 Managed Motorway</t>
  </si>
  <si>
    <t>Managed Motorway</t>
  </si>
  <si>
    <t>A19/A1058 Coast Road</t>
  </si>
  <si>
    <t>M6 J16-19</t>
  </si>
  <si>
    <t>M5 J4a-6</t>
  </si>
  <si>
    <t>M1 J24-25</t>
  </si>
  <si>
    <t>M1 J13-19</t>
  </si>
  <si>
    <t>M23 J8-10a</t>
  </si>
  <si>
    <t>M60 J24-27 &amp; J1-4</t>
  </si>
  <si>
    <t>M62 J10-12</t>
  </si>
  <si>
    <t>M6 J21a-26</t>
  </si>
  <si>
    <t>M56 J6-8</t>
  </si>
  <si>
    <t>M6 J13-15</t>
  </si>
  <si>
    <t>M6 J2-4</t>
  </si>
  <si>
    <t>M27 J4-11</t>
  </si>
  <si>
    <t>M3 J9-14</t>
  </si>
  <si>
    <t>M20 J3-5</t>
  </si>
  <si>
    <t>A2 Ebbsfleet</t>
  </si>
  <si>
    <t>A2 Bean</t>
  </si>
  <si>
    <t>M25DBFO M4 Elevated Piers</t>
  </si>
  <si>
    <t>Structures - Bridge/Large Culv</t>
  </si>
  <si>
    <t>MWS0738 R167 M6 Gravelly Hill</t>
  </si>
  <si>
    <t>M5 Piffs Elm Thaumasite Wks C</t>
  </si>
  <si>
    <t>M3 J3-4 Drainage Renewal</t>
  </si>
  <si>
    <t>Roads - Drainage</t>
  </si>
  <si>
    <t>5 yr plan</t>
  </si>
  <si>
    <t>Severn &amp; Wye RFCC</t>
  </si>
  <si>
    <t>Trent RFCC</t>
  </si>
  <si>
    <t>Bid</t>
  </si>
  <si>
    <t>Broadlands FA Strategy</t>
  </si>
  <si>
    <t>Works arising from TE2100 Strategy</t>
  </si>
  <si>
    <t>Coastal erosion, fishtail breakwaters and beach renourishment</t>
  </si>
  <si>
    <t>George Prior, low section of floodwall which requires improvement</t>
  </si>
  <si>
    <t>River Hamble to Portsmouth Harbour Entrance Coastal Flood and Erosion Risk Management Schemes</t>
  </si>
  <si>
    <t>Fareham and Gosport's coastline is a complex mix of highly developed residential and commercial areas including Ministry of Defence land, historical landmarks, potentially contaminated land, open space, agricultural land which has experienced historical c</t>
  </si>
  <si>
    <t>Pevensey Bay Sea Defences PPP</t>
  </si>
  <si>
    <t>25 Year Public Private Partnership (PPP) project running from June 2000 to May 2025 for improvement (carried out 2002) and maintenance of 9km of sea defences</t>
  </si>
  <si>
    <t>A large area of the Derby left bank is at risk of flooding, which includes 1,500 residential and 380 commercial properties in a 1% AEP flood event. 600 of the properties fall within the lowest Super Output Area. It is proposed to provide new flood defences along a new alignment set back from the river corridor  to provide a 1%AEP standard of protection throughout Derby.Derby County are doing a surface water strategy.</t>
  </si>
  <si>
    <t>2015/16c</t>
  </si>
  <si>
    <t>2012 to 2016 deflated</t>
  </si>
  <si>
    <t>Post 2016 deflated</t>
  </si>
  <si>
    <t>Funding allocated in Investing in Britain's Future</t>
  </si>
  <si>
    <t>Investing in Britains Future</t>
  </si>
  <si>
    <t>Highways Maintenance Block Funding (SR13 allocation)</t>
  </si>
  <si>
    <t>£6bn to help local authorities repair the local road network</t>
  </si>
  <si>
    <t>£4bn allocation to the Highways Agency to resurface around 80percent of the strategic road network</t>
  </si>
  <si>
    <t>Road Network Resurfacing (SR13 allocation)</t>
  </si>
  <si>
    <t>Electricity generation</t>
  </si>
  <si>
    <t>Gas Distribution</t>
  </si>
  <si>
    <t>Management of safety risk, maintaining supplies.</t>
  </si>
  <si>
    <t>Capacity Driven (Network Reinforcement)</t>
  </si>
  <si>
    <t xml:space="preserve">Increased security of supply, facilitating connection to the network. </t>
  </si>
  <si>
    <t>Customer Driven (Connections)</t>
  </si>
  <si>
    <t xml:space="preserve">Facilitating connection to the network. </t>
  </si>
  <si>
    <t>Distribution System Mains and Services Replacement</t>
  </si>
  <si>
    <t>Gas Holder Demolition and Holder Land Remediation</t>
  </si>
  <si>
    <t xml:space="preserve">Facilitates land sale and removal of risk from aging assets that are no longer required. </t>
  </si>
  <si>
    <t>Gas distribution</t>
  </si>
  <si>
    <t>NGG EoE</t>
  </si>
  <si>
    <t>NGG Lon</t>
  </si>
  <si>
    <t>NGG NW</t>
  </si>
  <si>
    <t>NGG WM</t>
  </si>
  <si>
    <t>NGN</t>
  </si>
  <si>
    <t>SGN SC</t>
  </si>
  <si>
    <t>SGN SO</t>
  </si>
  <si>
    <t>WWU</t>
  </si>
  <si>
    <t>Gas storage</t>
  </si>
  <si>
    <t>Aldbrough II</t>
  </si>
  <si>
    <t/>
  </si>
  <si>
    <t>Offshore</t>
  </si>
  <si>
    <t>Caythorpe</t>
  </si>
  <si>
    <t>Deborah</t>
  </si>
  <si>
    <t>Esmond Gordon</t>
  </si>
  <si>
    <t>Gateway Storage</t>
  </si>
  <si>
    <t>Hatfield West</t>
  </si>
  <si>
    <t>Hill Top Farm</t>
  </si>
  <si>
    <t>King Street</t>
  </si>
  <si>
    <t>Portland</t>
  </si>
  <si>
    <t>Preesall</t>
  </si>
  <si>
    <t>Saltfleetby</t>
  </si>
  <si>
    <t>Stublach</t>
  </si>
  <si>
    <t>Islandmagee</t>
  </si>
  <si>
    <t>Northern Ireland</t>
  </si>
  <si>
    <t>White Hill Farm</t>
  </si>
  <si>
    <t>Gas Transmission</t>
  </si>
  <si>
    <t>Incremental Capacity - Potential load related projects (customer signal dependent)</t>
  </si>
  <si>
    <t xml:space="preserve">To extend or reinforce the NTS, driven by customer requests for new connections or increased entry or exit capacity.  In most cases, load related investment is underpinned by a signal for incremental capacity above the prevailing obligated level  and an associated revenue driver having been agreed with Ofgem where necessary.  </t>
  </si>
  <si>
    <t>Industrial Emissions Directive (IED) - needs case dependent (interpretation of legislation).</t>
  </si>
  <si>
    <t>EU Directive came into force 6th January 2011, will be transposed into UK law by the 6th January 2013 and will set out the minimum standards the UK must adopt. 
Our operated Large Combustion Plant (LCP) has previously been exempt from the Large Combustion Plant Directive (LCPD) Emission Limit Values (ELVs) for NOx by virtue of its age, however, the introduction of the IED is now removing this age related exemption and the ELV for NOx will now apply to all National Grid compressors (&gt;50 MW rated thermal input).  Furthermore, the previous LCPD did not include an ELV for CO which is also being introduced under IED.</t>
  </si>
  <si>
    <t xml:space="preserve">Integrated Pollution Prevention &amp; Control (IPPC) - Phases 1 &amp; 2 (St Fergus, Kirriemuir, Hatton) </t>
  </si>
  <si>
    <t xml:space="preserve">Primary legislation driving emissions reduction investment - currently implemented in the UK through the Environment Permitting Regulations (2010) enforced in England and Wales by the Environment Agency (EA), and the Pollution Prevention and Control Regulations (2000) enforced in Scotland by the Scottish Environment Protection Agency (SEPA).  The strategy involves reviewing our compressor units as a fleet rather than a set of individual installations, prioritising sites where significant environmental improvements may be gained at the lowest possible cost.  This allows us to target sites currently operating high NOx emitting compression technologies or with high forecast utilisation.  </t>
  </si>
  <si>
    <t>IPPC  Phase 3 (Peterborough &amp; Huntingdon)</t>
  </si>
  <si>
    <t>IPPC Phase 4 (3 sites - TBC based on anticipated utilisation)</t>
  </si>
  <si>
    <t>NG CNI</t>
  </si>
  <si>
    <t>Physical Security (CNI Projects)</t>
  </si>
  <si>
    <t>Investment to increase the physical security of critical sites.</t>
  </si>
  <si>
    <t>Gas Importation</t>
  </si>
  <si>
    <t>Dragon LNG Phase 2</t>
  </si>
  <si>
    <t>Expansion of LNG importation capacity at existing LNG terminal</t>
  </si>
  <si>
    <t>Isle of Grain LNG Phase 4</t>
  </si>
  <si>
    <t>Norsea LNG</t>
  </si>
  <si>
    <t>New LNG import terminal</t>
  </si>
  <si>
    <t>Port Meridian LNG</t>
  </si>
  <si>
    <t>Amlych LNG</t>
  </si>
  <si>
    <t>National Grid</t>
  </si>
  <si>
    <t xml:space="preserve">Installed capacity  0.35 bcm </t>
  </si>
  <si>
    <t xml:space="preserve">Installed capacity  0.2 bcm </t>
  </si>
  <si>
    <t>Installed capacity 4.6 bcm</t>
  </si>
  <si>
    <t>Installed capacity 3.4 bcm</t>
  </si>
  <si>
    <t xml:space="preserve">Installed capacity  1.5 bcm </t>
  </si>
  <si>
    <t xml:space="preserve">Installed capacity  0.04 bcm </t>
  </si>
  <si>
    <t>Installed capacity 0.1 bcm</t>
  </si>
  <si>
    <t xml:space="preserve">Installed capacity  1 bcm </t>
  </si>
  <si>
    <t xml:space="preserve">Installed capacity  0.7 bcm </t>
  </si>
  <si>
    <t>Installed capacity 0.4 bcm</t>
  </si>
  <si>
    <t xml:space="preserve">Installed capacity  0.4 bcm </t>
  </si>
  <si>
    <t>Smart meters</t>
  </si>
  <si>
    <t>Smart meters rollout to domestic and small non-domestic customers</t>
  </si>
  <si>
    <t xml:space="preserve">The rollout of smart meters involves the deployment of a dedicated communications infrastructure so that energy consumption data can be securely transmitted from smart meters to energy suppliers and other relevant agents in the energy market. The infrastructure investment needed for the smart metering system covers the smart meter assets and in-home displays (at the energy consumer end), the communications network, and IT systems upgrades for energy suppliers and others in the energy industry. </t>
  </si>
  <si>
    <t>Biomass</t>
  </si>
  <si>
    <t>CCGT</t>
  </si>
  <si>
    <t>Interconnector</t>
  </si>
  <si>
    <t>Tidal</t>
  </si>
  <si>
    <t>Wave</t>
  </si>
  <si>
    <t>Wind Offshore</t>
  </si>
  <si>
    <t>Wind Onshore</t>
  </si>
  <si>
    <t>Nuclear</t>
  </si>
  <si>
    <t>Biomass Conversion</t>
  </si>
  <si>
    <t>Other Renewables (small)</t>
  </si>
  <si>
    <t>Other Renewables (large)</t>
  </si>
  <si>
    <t>CCS</t>
  </si>
  <si>
    <t>Scoping</t>
  </si>
  <si>
    <t>Moray Firth Offshore Wind Farm Telford</t>
  </si>
  <si>
    <t>Moray Firth Offshore Wind Farm Stevenson</t>
  </si>
  <si>
    <t>Moray Firth Offshore Wind Farm MacColl</t>
  </si>
  <si>
    <t>Beatrice Wind Farm</t>
  </si>
  <si>
    <t>Consents Approved</t>
  </si>
  <si>
    <t>Dudgeon Offshore Wind Farm</t>
  </si>
  <si>
    <t>Little Dunham 400kV</t>
  </si>
  <si>
    <t xml:space="preserve">Galloper Wind Farm </t>
  </si>
  <si>
    <t>Leiston 132kV substation</t>
  </si>
  <si>
    <t>Race Bank Wind Farm</t>
  </si>
  <si>
    <t>Race Bank 132/33lV Substation</t>
  </si>
  <si>
    <t>Westermost Rough</t>
  </si>
  <si>
    <t>Hedon</t>
  </si>
  <si>
    <t>Argyll Array</t>
  </si>
  <si>
    <t>Burbo Bank Extension</t>
  </si>
  <si>
    <t>Burbo Bank Extension Offshore Substation</t>
  </si>
  <si>
    <t>Celtic Array Rhiannon Stage 1</t>
  </si>
  <si>
    <t>Celtic Array Rhiannon Stage 2</t>
  </si>
  <si>
    <t>Celtic Array Rhiannon Remaining</t>
  </si>
  <si>
    <t>Celtic Array Remaining</t>
  </si>
  <si>
    <t>Dogger Bank Creyke Beck</t>
  </si>
  <si>
    <t>Dogger Bank Teeside A&amp;B</t>
  </si>
  <si>
    <t>Dogger Bank Teeside C&amp;D</t>
  </si>
  <si>
    <t>Dogger Bank Tranche D</t>
  </si>
  <si>
    <t>East Anglia 2</t>
  </si>
  <si>
    <t>East Anglia 3</t>
  </si>
  <si>
    <t>East Anglia 4</t>
  </si>
  <si>
    <t>East Anglia 5</t>
  </si>
  <si>
    <t>East Anglia 6</t>
  </si>
  <si>
    <t>Firth of Forth Offshore Wind Farm 2</t>
  </si>
  <si>
    <t>Firth of Forth Offshore Wind Farm 3</t>
  </si>
  <si>
    <t>Hornsea - Heron Wind</t>
  </si>
  <si>
    <t>Hornsea - Njord</t>
  </si>
  <si>
    <t>Hornsea - Optimus Wind</t>
  </si>
  <si>
    <t>Hornsea - Breesea</t>
  </si>
  <si>
    <t>Hornsea - Remaining</t>
  </si>
  <si>
    <t>Inch Cape Offshore Wind Farm</t>
  </si>
  <si>
    <t>London Array II</t>
  </si>
  <si>
    <t>London Array 33/150kV Offshore Substation</t>
  </si>
  <si>
    <t>Navitus Bay Offshore Wind Project</t>
  </si>
  <si>
    <t>Neart Na Gaoithe Offshore Wind Farm</t>
  </si>
  <si>
    <t>Rampion</t>
  </si>
  <si>
    <t>Triton Knoll Offshore Wind Farm</t>
  </si>
  <si>
    <t>Triton Knoll Offshore Platform 1</t>
  </si>
  <si>
    <t xml:space="preserve">Walney Offshore Wind Farm Extension </t>
  </si>
  <si>
    <t xml:space="preserve">Gwynt Y Mor Offshore Wind Farm </t>
  </si>
  <si>
    <t>Gwynt y Mor 132/33kV Offshore Substation</t>
  </si>
  <si>
    <t>Humber Gateway Offshore Wind Farm</t>
  </si>
  <si>
    <t>West of Duddon Sands Offshore Wind Farm</t>
  </si>
  <si>
    <t>Heysham 400kV Substation</t>
  </si>
  <si>
    <t>Aberdeen Bay</t>
  </si>
  <si>
    <t>Kentish Flats extension</t>
  </si>
  <si>
    <t>Moray Firth - Western Development Area</t>
  </si>
  <si>
    <t>Islay</t>
  </si>
  <si>
    <t>First Flight Wind</t>
  </si>
  <si>
    <t>Viking Wind Farm</t>
  </si>
  <si>
    <t>Kilgallioch wind farm</t>
  </si>
  <si>
    <t>Pen Y Cymoedd</t>
  </si>
  <si>
    <t>Stronelairg Wind Farm</t>
  </si>
  <si>
    <t>Harestanes</t>
  </si>
  <si>
    <t>Dorenell Wind Farm (Previously Site A and B Scaut Hill )</t>
  </si>
  <si>
    <t>Strathy South</t>
  </si>
  <si>
    <t>Clyde Wind Farm Extension (Clyde 2)</t>
  </si>
  <si>
    <t>Carnedd Wen Wind Farm</t>
  </si>
  <si>
    <t>Lewis Wind Farm (was Muaitheabhal Windfarm - Modified)</t>
  </si>
  <si>
    <t>Stornoway Wind Farm project (was Lewis Wind Farm - Resubmission)</t>
  </si>
  <si>
    <t>Bhlaraidh (previously Balmacaan)</t>
  </si>
  <si>
    <t>Dunmaglass Wind Farm</t>
  </si>
  <si>
    <t>Windy Standard Wind Farm (Extension)</t>
  </si>
  <si>
    <t>Sandy Knowe Wind Farm</t>
  </si>
  <si>
    <t>Llandinam Windfarm Repowering and Extension</t>
  </si>
  <si>
    <t>Beinneun</t>
  </si>
  <si>
    <t>Girthgate Wind Farm</t>
  </si>
  <si>
    <t>Keadby Wind Farm</t>
  </si>
  <si>
    <t>Brechfa Forest West</t>
  </si>
  <si>
    <t>Stranoch Wind Farm</t>
  </si>
  <si>
    <t>Clocaenog</t>
  </si>
  <si>
    <t>Glencassley Wind Farm</t>
  </si>
  <si>
    <t>Mid Hill (including extension)</t>
  </si>
  <si>
    <t>Afton Wind Farm</t>
  </si>
  <si>
    <t>Earlshaugh Wind Farm</t>
  </si>
  <si>
    <t>Limekiln Wind Farm</t>
  </si>
  <si>
    <t>Longburn Wind Farm</t>
  </si>
  <si>
    <t>Braemore</t>
  </si>
  <si>
    <t>Dersalloch</t>
  </si>
  <si>
    <t>Strathy North</t>
  </si>
  <si>
    <t>Black Law Extension</t>
  </si>
  <si>
    <t>Fauch Hill Wind Farm</t>
  </si>
  <si>
    <t>Llanbrynmair Wind Farm</t>
  </si>
  <si>
    <t>Rowantree Wind Farm</t>
  </si>
  <si>
    <t>Blackcraig</t>
  </si>
  <si>
    <t>Aikengall II, Wester Dod Community Wind Farm</t>
  </si>
  <si>
    <t>Middle Muir Wind Farm</t>
  </si>
  <si>
    <t>Dalnessie Wind Farm</t>
  </si>
  <si>
    <t>Fferm Wynt Llaithddu Cyf</t>
  </si>
  <si>
    <t>Berry Burn</t>
  </si>
  <si>
    <t>Sallachy Wind Farm</t>
  </si>
  <si>
    <t>Heckington Fens</t>
  </si>
  <si>
    <t>Moy Wind Farm (2nd Application)</t>
  </si>
  <si>
    <t>Kype Muir Wind Farm</t>
  </si>
  <si>
    <t>Newfield</t>
  </si>
  <si>
    <t>Nathro Hill Wind Farm</t>
  </si>
  <si>
    <t>Frodsham Marsh</t>
  </si>
  <si>
    <t>Corriemoillie (Resubmission)</t>
  </si>
  <si>
    <t>Ray Fell Wind Farm</t>
  </si>
  <si>
    <t>Galawhistle</t>
  </si>
  <si>
    <t>Llanbadarn Fynydd Wind Farm</t>
  </si>
  <si>
    <t>Esgair Cwnowen</t>
  </si>
  <si>
    <t>Lochluichart</t>
  </si>
  <si>
    <t>Allt Duine Wind Farm</t>
  </si>
  <si>
    <t>Projects &lt;50MW awaiting planning consent</t>
  </si>
  <si>
    <t>Projects &lt;50MW with planning consent</t>
  </si>
  <si>
    <t>Projects &lt;50MW under construction</t>
  </si>
  <si>
    <t>Hinkley Point C</t>
  </si>
  <si>
    <t>Hinkley 400kV Substation</t>
  </si>
  <si>
    <t>Oldbury B</t>
  </si>
  <si>
    <t>Oldbury-on-Severn 400kV Substation</t>
  </si>
  <si>
    <t>Sizewell C</t>
  </si>
  <si>
    <t>Sizewell North 400kV Substation</t>
  </si>
  <si>
    <t>Wylfa 400kV Substation</t>
  </si>
  <si>
    <t xml:space="preserve">Moorside </t>
  </si>
  <si>
    <t>Sellafield 400kV Substation</t>
  </si>
  <si>
    <t>Keadby II</t>
  </si>
  <si>
    <t>Keadby 132kV</t>
  </si>
  <si>
    <t>Seabank 3</t>
  </si>
  <si>
    <t>Seabank</t>
  </si>
  <si>
    <t xml:space="preserve">Tilbury C </t>
  </si>
  <si>
    <t>Tilbury 400kV Substation</t>
  </si>
  <si>
    <t>Trafford Power - Stage 1</t>
  </si>
  <si>
    <t>Carrington 400kV</t>
  </si>
  <si>
    <t>Trafford Power - Stage 2</t>
  </si>
  <si>
    <t>Abernedd Power Station</t>
  </si>
  <si>
    <t>Baglan Bay 275kV</t>
  </si>
  <si>
    <t>Damhead Creek II</t>
  </si>
  <si>
    <t>Damhead Creek 400kV</t>
  </si>
  <si>
    <t>Drakelow</t>
  </si>
  <si>
    <t>Gateway Energy Centre Power Station</t>
  </si>
  <si>
    <t>Coryton</t>
  </si>
  <si>
    <t>Kings Lynn B</t>
  </si>
  <si>
    <t>Kings Lynn B 400kV Substation</t>
  </si>
  <si>
    <t>Spalding Energy Expansion</t>
  </si>
  <si>
    <t>Spalding North 400kV Substation</t>
  </si>
  <si>
    <t>Thorpe Marsh</t>
  </si>
  <si>
    <t>Thorpe Marsh 400kV Substation</t>
  </si>
  <si>
    <t>C. Gen North Killingholme Power Station</t>
  </si>
  <si>
    <t>C.Gen North Killingholme</t>
  </si>
  <si>
    <t>Knottingley Power Station</t>
  </si>
  <si>
    <t>Carrington Power Station</t>
  </si>
  <si>
    <t>Carrington</t>
  </si>
  <si>
    <t>Sutton Bridge B</t>
  </si>
  <si>
    <t>Willington</t>
  </si>
  <si>
    <t>Cockenzie</t>
  </si>
  <si>
    <t>Avon Power Station</t>
  </si>
  <si>
    <t>Wrexham</t>
  </si>
  <si>
    <t>Bay of Skaill 132/33kV substation</t>
  </si>
  <si>
    <t>Lag Na Greine Phase 1</t>
  </si>
  <si>
    <t>Siadar</t>
  </si>
  <si>
    <t>Lag Na Greine Phase 2</t>
  </si>
  <si>
    <t>Lag Na Greine Phase 3</t>
  </si>
  <si>
    <t>Marwick Head Wave Farm</t>
  </si>
  <si>
    <t>Bay of Skaill</t>
  </si>
  <si>
    <t>MeyGen Tidal</t>
  </si>
  <si>
    <t>Gills Bay</t>
  </si>
  <si>
    <t>Sound of Islay Tidal</t>
  </si>
  <si>
    <t>Alderney Renewable Energy</t>
  </si>
  <si>
    <t>Fawley 400kV Substation</t>
  </si>
  <si>
    <t>Duncansby Tidal Array</t>
  </si>
  <si>
    <t>Gills Bay 132/33kV Substation</t>
  </si>
  <si>
    <t>Markinch Biomass CHP Plant</t>
  </si>
  <si>
    <t>Glenrothes</t>
  </si>
  <si>
    <t>Tees Renewable Energy Plant</t>
  </si>
  <si>
    <t>Teesside Power Station</t>
  </si>
  <si>
    <t>Drax Biomass Conversion</t>
  </si>
  <si>
    <t>Drax</t>
  </si>
  <si>
    <t>North Blyth</t>
  </si>
  <si>
    <t>Belgium Interconnector</t>
  </si>
  <si>
    <t>Richborough 400kV Substation</t>
  </si>
  <si>
    <t>France Interconnector</t>
  </si>
  <si>
    <t>Sellindge 400kV Substation</t>
  </si>
  <si>
    <t>IFA2 Interconnector</t>
  </si>
  <si>
    <t>Chilling 400kV Substation</t>
  </si>
  <si>
    <t>Norway Interconnector</t>
  </si>
  <si>
    <t>Peterhead 400kV Substation</t>
  </si>
  <si>
    <t>Blyth 400kV Substation</t>
  </si>
  <si>
    <t>Nuclear Decommissioning</t>
  </si>
  <si>
    <t>Waste &amp; Materials Management</t>
  </si>
  <si>
    <t>Berkeley</t>
  </si>
  <si>
    <t>Build ILW ministore enablers &amp; weather protection</t>
  </si>
  <si>
    <t>Build solid ILW retrieval faciltiy</t>
  </si>
  <si>
    <t>Bradwell</t>
  </si>
  <si>
    <t>Decommissioning</t>
  </si>
  <si>
    <t>Safestore cladding</t>
  </si>
  <si>
    <t>Build (FED) ILW retrieval &amp; processing facility</t>
  </si>
  <si>
    <t>Chapelcross</t>
  </si>
  <si>
    <t>Modular Active Effluent Treatment Plant</t>
  </si>
  <si>
    <t>Harwell</t>
  </si>
  <si>
    <t>Harwell ILW Store</t>
  </si>
  <si>
    <t>Sellafield</t>
  </si>
  <si>
    <t>Infrastructure</t>
  </si>
  <si>
    <t>Replacement Decontamination Facility</t>
  </si>
  <si>
    <t>Separation Area Ventilation</t>
  </si>
  <si>
    <t>Site Security</t>
  </si>
  <si>
    <t>Electricity Supply Services</t>
  </si>
  <si>
    <t>Operations</t>
  </si>
  <si>
    <t>Magnox PU Storage</t>
  </si>
  <si>
    <t>SPRS Retreatment Facility</t>
  </si>
  <si>
    <t>BEP Product Store</t>
  </si>
  <si>
    <t>Sludge Packaging Plant (SPP)</t>
  </si>
  <si>
    <t>Replacement Flask Maintenance Facility</t>
  </si>
  <si>
    <t>LLW Sort, segregate and size reduction facility</t>
  </si>
  <si>
    <t>Silo Maintenance Facility</t>
  </si>
  <si>
    <t>Box Transfer Facility</t>
  </si>
  <si>
    <t>Silos Direct Encapsulation Plant</t>
  </si>
  <si>
    <t>Highly Active Liquid Evaporator</t>
  </si>
  <si>
    <t>Magnox Fuel Storage Pond</t>
  </si>
  <si>
    <t>SEP Settling Tank</t>
  </si>
  <si>
    <t>Magnox Swarf Storage Silos</t>
  </si>
  <si>
    <t>Pile Fuel Cladding Silo</t>
  </si>
  <si>
    <t>SIXEP Contingency Plant</t>
  </si>
  <si>
    <t>Box Encapsulation Plant (BEP)</t>
  </si>
  <si>
    <t>Pile Fuel Storage Pond Local Sludge Treatment Plant (LSTP)</t>
  </si>
  <si>
    <t>Waste Management</t>
  </si>
  <si>
    <t>Geological Disposal Facility</t>
  </si>
  <si>
    <t>Disposal facility for UK legacy radioactive waste</t>
  </si>
  <si>
    <t>NDA New Construction subcontractor cost estimates extracted from SLC plans</t>
  </si>
  <si>
    <t>www.magnoxsites.co.uk</t>
  </si>
  <si>
    <t>www.research-sites.com</t>
  </si>
  <si>
    <t>www.sellafieldsites.com</t>
  </si>
  <si>
    <t xml:space="preserve"> </t>
  </si>
  <si>
    <t>www.nda.gov.uk</t>
  </si>
  <si>
    <t>NDA ARAC</t>
  </si>
  <si>
    <t>Electricity distribution</t>
  </si>
  <si>
    <t>CE Northern Electric Distribution</t>
  </si>
  <si>
    <t>CE NEDL</t>
  </si>
  <si>
    <t>CE Yorkshire Distribution</t>
  </si>
  <si>
    <t>CE YEDL</t>
  </si>
  <si>
    <t>Electricity North West</t>
  </si>
  <si>
    <t>ENW</t>
  </si>
  <si>
    <t>Eon Central Networks East</t>
  </si>
  <si>
    <t>CN East</t>
  </si>
  <si>
    <t>Eon Central Networks West</t>
  </si>
  <si>
    <t>CN West</t>
  </si>
  <si>
    <t>Scottish and Southern Energy Hydro</t>
  </si>
  <si>
    <t>SSE Hydro</t>
  </si>
  <si>
    <t>Scottish and Southern Energy Southern</t>
  </si>
  <si>
    <t>SSE Southern</t>
  </si>
  <si>
    <t>Scottish Power Distribution</t>
  </si>
  <si>
    <t>SP Distribution</t>
  </si>
  <si>
    <t>Scottish Power Manweb</t>
  </si>
  <si>
    <t>SP Manweb</t>
  </si>
  <si>
    <t>UK Power Networks - East</t>
  </si>
  <si>
    <t>EDFE EPN</t>
  </si>
  <si>
    <t>UK Power Networks - London</t>
  </si>
  <si>
    <t>EDFE LPN</t>
  </si>
  <si>
    <t>UK Power Networks - South East</t>
  </si>
  <si>
    <t>EDFE SPN</t>
  </si>
  <si>
    <t>Western Power Distribution South Wales</t>
  </si>
  <si>
    <t>WPD S Wales</t>
  </si>
  <si>
    <t>Western Power Distribution South West</t>
  </si>
  <si>
    <t>WPD S West</t>
  </si>
  <si>
    <t>Electricity transmission</t>
  </si>
  <si>
    <t>East Anglia</t>
  </si>
  <si>
    <t>Upgrades principally in relation to offshore wind connecting into East Coast and Sizewell nuclear power station</t>
  </si>
  <si>
    <t>NG Update</t>
  </si>
  <si>
    <t>New HVDC subsea cable connecting Scotland to Northern England to facilitate flow of electricity from north to south</t>
  </si>
  <si>
    <t>Humberside</t>
  </si>
  <si>
    <t>Upgrades primarily in relation to offshore wind farms</t>
  </si>
  <si>
    <t>2018 Onwards</t>
  </si>
  <si>
    <t>Upgrades to accommodate increased powerflows into London area.</t>
  </si>
  <si>
    <t>London Cables</t>
  </si>
  <si>
    <t>Replacement of aging underground cable infrastructure in London into tunnels.</t>
  </si>
  <si>
    <t>Mid Wales</t>
  </si>
  <si>
    <t>New transmission line &amp; substation works to connect onshore wind farms.</t>
  </si>
  <si>
    <t>North Wales</t>
  </si>
  <si>
    <t>Upgrades in relation to Wylfa nuclear power station and offshore wind in Irish Sea.</t>
  </si>
  <si>
    <t>2018-2020</t>
  </si>
  <si>
    <t>Other Investment</t>
  </si>
  <si>
    <t>Works to increase capacity of network for additional generation and demand and replace existing assets that are becoming unreliable.</t>
  </si>
  <si>
    <t>England and Wales</t>
  </si>
  <si>
    <t>Scotland-England interconnector</t>
  </si>
  <si>
    <t>Works to increase capacity of on-shore Scottish-England interconnector.</t>
  </si>
  <si>
    <t>Scotland-England Series Compensation</t>
  </si>
  <si>
    <t>Series compensation works to increase capacity of on-shore Scottish-England interconnection.</t>
  </si>
  <si>
    <t>Settlement for period 2013 to 2021</t>
  </si>
  <si>
    <t>Ofgem - http://www.ofgem.gov.uk/NETWORKS/TRANS/PRICECONTROLS/RIIO-T1/CONRES/Documents1/SPTSHETLFPsupport.pdf</t>
  </si>
  <si>
    <t>Upgrades to connect Hinkley nuclear power station &amp; further increase export capacity from the South West.</t>
  </si>
  <si>
    <t>SP Transmission Ltd - RIIO-T1 final proposals</t>
  </si>
  <si>
    <t>New HVDC subsea cable connecting Scotland to Northern England/North Wales to facilitate flow of electricity from north to south</t>
  </si>
  <si>
    <t>Wylfa-Pembroke HVDC Link</t>
  </si>
  <si>
    <t>New HVDC subsea cable connecting North Wales (Wylfa) to South Wales (Pembroke).</t>
  </si>
  <si>
    <t>Water</t>
  </si>
  <si>
    <t>Projects over £50m</t>
  </si>
  <si>
    <t>Thames Tideway Tunnel Main (Thames Water)</t>
  </si>
  <si>
    <t>Construction of tunnel</t>
  </si>
  <si>
    <t>Water and sewerage companies</t>
  </si>
  <si>
    <t>Anglian Water</t>
  </si>
  <si>
    <t>Anglian Water: Sewerage service</t>
  </si>
  <si>
    <t>Maintenance and improvements to wastewater  infrastructure</t>
  </si>
  <si>
    <t>The total (AMP5) Capex figures by companies have been published in the national document "Future Water &amp; Sewerage Charges 2010-15: Final Determinations".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t>
  </si>
  <si>
    <t>Anglian Water: Water service</t>
  </si>
  <si>
    <t>Maintenance and improvements to water supply infrastructure</t>
  </si>
  <si>
    <t>Northumbrian Water</t>
  </si>
  <si>
    <t>Northumbrian Water: Sewerage service</t>
  </si>
  <si>
    <t>Northumbrian Water: Water service</t>
  </si>
  <si>
    <t>Severn Trent Water</t>
  </si>
  <si>
    <t>Severn Trent Water: Sewerage service</t>
  </si>
  <si>
    <t>Severn Trent Water: Water service</t>
  </si>
  <si>
    <t>South West Water</t>
  </si>
  <si>
    <t>South West Water: Sewerage service</t>
  </si>
  <si>
    <t>South West Water: Water service</t>
  </si>
  <si>
    <t>Southern Water</t>
  </si>
  <si>
    <t>Southern Water: Sewerage service</t>
  </si>
  <si>
    <t>Southern Water: Water service</t>
  </si>
  <si>
    <t>Thames Water</t>
  </si>
  <si>
    <t>Thames Water: Sewerage service</t>
  </si>
  <si>
    <t>Thames Water: Water service</t>
  </si>
  <si>
    <t>United Utilities Water</t>
  </si>
  <si>
    <t>United Utilities Water: Sewerage service</t>
  </si>
  <si>
    <t>United Utilities Water: Water service</t>
  </si>
  <si>
    <t>Welsh Water</t>
  </si>
  <si>
    <t>Welsh Water: Sewerage service</t>
  </si>
  <si>
    <t>Welsh Water: Water service</t>
  </si>
  <si>
    <t>Wessex Water</t>
  </si>
  <si>
    <t>Wessex Water: Sewerage service</t>
  </si>
  <si>
    <t>Wessex Water: Water service</t>
  </si>
  <si>
    <t>Yorkshire Water</t>
  </si>
  <si>
    <t>Yorkshire Water: Sewerage service</t>
  </si>
  <si>
    <t>Yorkshire Water: Water service</t>
  </si>
  <si>
    <t>Water only companies</t>
  </si>
  <si>
    <t>Bournemouth &amp; West Hampshire Water</t>
  </si>
  <si>
    <t>Bristol Water</t>
  </si>
  <si>
    <t>Cambridge Water</t>
  </si>
  <si>
    <t>Dee Valley Water</t>
  </si>
  <si>
    <t>Portsmouth Water</t>
  </si>
  <si>
    <t>South East Water</t>
  </si>
  <si>
    <t>South Staffordshire Water</t>
  </si>
  <si>
    <t>Sutton &amp; East Surrey Water</t>
  </si>
  <si>
    <t xml:space="preserve">Veolia Water Central </t>
  </si>
  <si>
    <t>Firth of Forth Offshore Wind Farm Alpha and Bravo</t>
  </si>
  <si>
    <t>RES Port of Blyth</t>
  </si>
  <si>
    <t>Forth Ports CHP Grangemouth</t>
  </si>
  <si>
    <t>Forth Ports/SSE</t>
  </si>
  <si>
    <t>Mobile network upgrade (4G)</t>
  </si>
  <si>
    <t>A14 Cambridge to Huntingdon</t>
  </si>
  <si>
    <t>Project Summary</t>
  </si>
  <si>
    <t>Date in service (Projected)</t>
  </si>
  <si>
    <t>Programme name</t>
  </si>
  <si>
    <t>Project Name</t>
  </si>
  <si>
    <t>Web address for further information</t>
  </si>
  <si>
    <t>Start of Works Projected (Construction)</t>
  </si>
  <si>
    <t>Mersey (Seaforth)</t>
  </si>
  <si>
    <t>Teesport</t>
  </si>
  <si>
    <t>Southampton</t>
  </si>
  <si>
    <t>Francis Crick Institute</t>
  </si>
  <si>
    <t xml:space="preserve">The Francis Crick Institute (formerly UKCMRI) is a joint venture between the UK's largest biomedical research and academic institutions: The Medical Research Council (MRC), Cancer Research UK (CRUK), the Wellcome Trust, University College London,  Kings College, London and Imperial College, London.  A new research Institution will be established involving the construction of a new facility located close to St Pancras station, London.  This facility will accommodate 1,268 scientists when fully operational.  The National Institute for Medical Research (NIMR) will be closed.  </t>
  </si>
  <si>
    <t>www.crick.ac.uk</t>
  </si>
  <si>
    <t>Research Partnership Investment Fund  (RPIF)</t>
  </si>
  <si>
    <t>To enhance university research facilities to leverage private investment in the UK reaserch base for public benefit including economic growth.</t>
  </si>
  <si>
    <t>Diamond 3</t>
  </si>
  <si>
    <t xml:space="preserve">Phase III expansion will create an additional 10 advanced beamlines between 2011 and 2017, which will bring the total to 32.
</t>
  </si>
  <si>
    <t>Skylon SABRE</t>
  </si>
  <si>
    <t>ELIXIR</t>
  </si>
  <si>
    <t>Pirbright Development Phase 2</t>
  </si>
  <si>
    <t>Agri-tech Innovation Centres</t>
  </si>
  <si>
    <t>ELIXIR is a pan-European infrastructure for the sharing of biological data, funded through sustainable contributions from national member states and the European Commission.</t>
  </si>
  <si>
    <t>Will include new containment level 2 laboratories, and a new Biological Resources Facility for in-vivo work at various levels of containment.</t>
  </si>
  <si>
    <t xml:space="preserve">£90m Government funding with co-funding from industry for these centres to support the wide scale adoption of innovation and technology across key sectors, developing skills and capability in the food and farming supply chain.   </t>
  </si>
  <si>
    <t>On 18th October 2013, Defra withdrew the offer of financial support to the Norfolk County Council residual waste treatment project. This followed a review of the project triggered by a breach of the terms and conditions under which funding was originally agreed. The project is now classed as a PPP project.</t>
  </si>
  <si>
    <t>Growth Scheme</t>
  </si>
  <si>
    <t>Exeter FDS</t>
  </si>
  <si>
    <t xml:space="preserve">The Exeter Flood Defence Scheme is being built to address the unacceptably high flood risk in Exeter. Some sections of existing defence only protect against a 10% (1 in 10) chance of flooding in any year, and more generally they protect up to a maximum of 2.5% (1 in 40). We are developing the Scheme in close partnership with senior managers from Exeter City Council (ECC) as the planning authority and Devon County Council (DCC) as the Lead Local Flood Authority. </t>
  </si>
  <si>
    <t>Medium Term Plan &amp; PPMT (Project and Programme Management Tool)</t>
  </si>
  <si>
    <t>Ipswich Flood Defence Main Stage: Tidal Barrier</t>
  </si>
  <si>
    <t>Northwich Town Centre</t>
  </si>
  <si>
    <t>Flood defence scheme to reduce flood risk in Northwich.</t>
  </si>
  <si>
    <t>Salford Flood Alleviation Improvements</t>
  </si>
  <si>
    <t>Sheffield Lower Don Valley Flood Protection Project</t>
  </si>
  <si>
    <t>The Sheffield Lower Don Valley area was flooded in 2000 and 2007 causing significant disruption to businesses, services and power, transport and tele-communications infrastructure. This project will design and construct a series of physical measures to defend a major concentration of 325 industrial and commercial businesses from flood risk at 1 in 100 year event level.</t>
  </si>
  <si>
    <t>Skipton Flood Alleviation Scheme</t>
  </si>
  <si>
    <t>Preparation of PAR to provide a prefered option for reducing flood risk in Skipton.  Current flood risk is from Eller Beck, Waller Hill Beck and Ings Beck where over 120 properties are at risk of flooding from 1 in 200 year event.  Current standard of protection is below 1 in 10 year standard.</t>
  </si>
  <si>
    <t>Growth scheme</t>
  </si>
  <si>
    <t>Clacton Holland on Sea Management Plan Implementation Phase 1 (Zones B and C)</t>
  </si>
  <si>
    <t>Leeds City Flood Alleviation Scheme</t>
  </si>
  <si>
    <t xml:space="preserve">The approved  Upper Aire Strategy considered many options for the protection of Leeds City.  The Leeds FAS developed a scheme for the River Aire in Leeds, which was approved by the EA Board in 2010.This was unaffordable.  The Secretary of State advised that more resource could be available to explore alternatives. Work  is underway on exploring alternatives so that Leeds CC and their elected members can decide which option to proceed with, and how the additional funding might be found .
</t>
  </si>
  <si>
    <t>Lower Derwent PAR Package</t>
  </si>
  <si>
    <t>Accelerated scheme</t>
  </si>
  <si>
    <t>Anchorsholme Coast Protection Scheme</t>
  </si>
  <si>
    <t>Broomhill Sands Coastal Defence Scheme</t>
  </si>
  <si>
    <t>Improve Coastal Sea Defences  between Camber Sands and Jury's Gap in East Sussex from a 1:20 SoP to 1:200 SoP.   The 2km of shingle beach and rock revetment proposed will contribute to the protection of 5,334 residences in Coastal Cell 2 of the Folkestone to Cliff End Strategy and will provide direct benefit to the 620 residences at immediate risk from failure of this frontage.</t>
  </si>
  <si>
    <t>Crossens Pumping Station Refurbishment</t>
  </si>
  <si>
    <t>Appraisal of the flood risk management options associated with Crossens Pumping Station and delivery of the optimum flood risk management solution.</t>
  </si>
  <si>
    <t>Croston Village FAS</t>
  </si>
  <si>
    <t>400 Properties in Croston are at risk of flooding from the Rivers Yarrow, Lostock and their tributaries in a 100 yr event. There is a history of recent flooding from main river, surface water, sewers and highway drainage sources.</t>
  </si>
  <si>
    <t>Dawlish Warren and Exmouth Beach Management Scheme</t>
  </si>
  <si>
    <t>Devon and Cornwall Floods Recovery 2012</t>
  </si>
  <si>
    <t>Identify and implement flood improvements for communities in Devon and Cornwall affected by the 2012 summer floods</t>
  </si>
  <si>
    <t>Tendered</t>
  </si>
  <si>
    <t>Headland Structures Phase 1 Study and Construction</t>
  </si>
  <si>
    <t xml:space="preserve">Life expired vertical masonry blockwork walls. Proposed solution is to provide concrete encasement
</t>
  </si>
  <si>
    <t>Horncastle Improvements</t>
  </si>
  <si>
    <t>The existing standard  of protection to Horncastle falls short of indicative standards.  Proposed works comprise construction of upstream flood storage.  Some 40 properties were flooded in June 2007.</t>
  </si>
  <si>
    <t>Humber Grimsby Docks</t>
  </si>
  <si>
    <t>Kings Lynn Fisher Fleet - Refurbishment of Floodgates</t>
  </si>
  <si>
    <t>Littlehampton Arun Tidal Defences East Bank</t>
  </si>
  <si>
    <t>Delivery of the scheme from the Arun to Adur coastal management strategy, for phased improvement of tidal walls along the River Arun to reduce risk to 1900 properties in Littlehampton</t>
  </si>
  <si>
    <t>Marton Mere Pumping Station and Spillway improvements</t>
  </si>
  <si>
    <t>Cubbington</t>
  </si>
  <si>
    <t>Plymouth, Marsh Mills, Tidal flood alleviation scheme</t>
  </si>
  <si>
    <t xml:space="preserve">Study and planned works for flood mitigation 
</t>
  </si>
  <si>
    <t>Port Clarence and Greatham South Flood Alleviation Scheme</t>
  </si>
  <si>
    <t xml:space="preserve">The Tees Tidal Flood Risk Management Strategy (2008) identified Port Clarence as a key risk area in the Tees due to its high priority score and current low standard of protection. Port Clarence has the largest number of residential properties at risk in the Tees area. The preferred option for the Greatham South Port Clarence area is to maintain the existing line of the flood  defence and bund the underpasses through the railway embankment.
</t>
  </si>
  <si>
    <t>Portsea Island - Flood Cell 4: North Portsea Island</t>
  </si>
  <si>
    <t>Middle Tame - Perry Barr and Witton</t>
  </si>
  <si>
    <t>Production of Tame PAR(s) covering initial 5 year works recommended in Tame Strategy</t>
  </si>
  <si>
    <t>Upper Tame - Titford Culvert</t>
  </si>
  <si>
    <t>Upper Tame - Holloway Bank</t>
  </si>
  <si>
    <t>Sandsend Coast Protection Scheme</t>
  </si>
  <si>
    <t>Problem - Unstable boulder clay and life expired revetment. Solution - Concrete stepped revetment and slope stabilisation</t>
  </si>
  <si>
    <t>Scarborough South Bay Spa Seawall Works</t>
  </si>
  <si>
    <t xml:space="preserve">Spa sea wall improvements and slope stabilisation works.
</t>
  </si>
  <si>
    <t>Seaham Harbour Design and Construction</t>
  </si>
  <si>
    <t xml:space="preserve">The Pier has been identified in the Seaham Strategy Study (2004) as being a critical coastal defence element for the protection of Seaham Harbour Port.The listed structure is beginning to fail and is showing signs of progressive collapse in several sections along its length. Investigation works are needed to establish the level of damage suffered by the structure, determine itâ€™s workable life. </t>
  </si>
  <si>
    <t>Skinningrove Coastal Protection Works</t>
  </si>
  <si>
    <t>Study to assess issues and options for protection of Skinningrove Coastal Defences</t>
  </si>
  <si>
    <t>Midlands West Reservoir Works 2</t>
  </si>
  <si>
    <t>Saintbridge 1 - Works to wingwalls  to prevent erosion.  Saintbridge 2 - Topographical survey and detailed design works to construct an auxilliary spillway and assess the effects on the adjacent allotments.  Cox's Meadow - works to extend the spillway and and create a path over the informal desire line up to the spillway.  Kidderminster - Reinforcement of embankments and regularising of crest levels</t>
  </si>
  <si>
    <t>Whitby Harbour Works MU17  MU18</t>
  </si>
  <si>
    <t xml:space="preserve">Coast protection works. Works arising from Whitby strategy review and prioritised PARs
</t>
  </si>
  <si>
    <t>Leicester FRMS - conveyance works</t>
  </si>
  <si>
    <t xml:space="preserve">To link Leicester City Pluvial Modelling with Fluvial modelling 
</t>
  </si>
  <si>
    <t>Great Yarmouth Tidal Defences</t>
  </si>
  <si>
    <t>Felixstowe South</t>
  </si>
  <si>
    <t>Container ports</t>
  </si>
  <si>
    <t>Ports</t>
  </si>
  <si>
    <t xml:space="preserve">Container terminal </t>
  </si>
  <si>
    <t>Container terminal</t>
  </si>
  <si>
    <t>Terminal and berth dredge started as at 13Q4.  Bay dredge awaited.</t>
  </si>
  <si>
    <t xml:space="preserve">Start delayed for at least 5 more years, pending demand. </t>
  </si>
  <si>
    <t xml:space="preserve">Project scaled back under present port ownership. </t>
  </si>
  <si>
    <t xml:space="preserve">Marine licences and funding secured.  Under development. </t>
  </si>
  <si>
    <t xml:space="preserve">First phase opened 2011.  Second phase, which triggers substantial s.106 rail obligations, on hold pending demand outlook.  </t>
  </si>
  <si>
    <t>Asset Health Integrity (excl. NRMP)</t>
  </si>
  <si>
    <t>Management of safety risk, maintaining supplies. Component of Asset Health investment categorized as CAPEX</t>
  </si>
  <si>
    <t xml:space="preserve">National Grid Gas Distribution Network Innovation and Investment Team.  </t>
  </si>
  <si>
    <t>£290m</t>
  </si>
  <si>
    <t>Hinkley Point A</t>
  </si>
  <si>
    <t>www.birminghamairport.co.uk</t>
  </si>
  <si>
    <t>Birmingham Airport - Development Director</t>
  </si>
  <si>
    <t>Scheme Status</t>
  </si>
  <si>
    <t>Great Western Electrification</t>
  </si>
  <si>
    <t>Midland Mainline Electrication</t>
  </si>
  <si>
    <t>Edinburgh Glasgow Improvement Programme</t>
  </si>
  <si>
    <t>Midland Mainline Capacity</t>
  </si>
  <si>
    <t>East West Rail</t>
  </si>
  <si>
    <t>Passenger Journey Improvement</t>
  </si>
  <si>
    <t>Aberdeen to Inverness journey time improvements and other enhancements</t>
  </si>
  <si>
    <t>East Coast Connectivity</t>
  </si>
  <si>
    <t>Oxford - Bedford enabling works</t>
  </si>
  <si>
    <t>Funding for unallocated schemes from 2016/17</t>
  </si>
  <si>
    <t xml:space="preserve">CP4. Major renovation of Birmingham New Street station including more than doubling station concourse capacity, commercial development, better passenger facilities, as well as much improved access between platforms and the concourse. </t>
  </si>
  <si>
    <t>CP4. Improvements to the East Coast Main Line between London and York</t>
  </si>
  <si>
    <t>CP4. A variety of track improvements in the Midlands which will reduce journey times.</t>
  </si>
  <si>
    <t>CP4. Improvements on the Manchester to Liverpool line to enable longer trains to operate.</t>
  </si>
  <si>
    <t>CP4. Improvements to some stations in Yorkshire to enable longer trains to access them; stabling and servicing for additional vehicles in a number of locations</t>
  </si>
  <si>
    <t>CP4. Improved power supplies in the South East to enable longer trains to operate</t>
  </si>
  <si>
    <t>CP4. A programme of improvements to the West Coast Mainline.</t>
  </si>
  <si>
    <t>CP4. Line improvements around Cardiff; in the Cotswolds; between Bristol and Gloucester; and between Cheltenham and Birmingham.</t>
  </si>
  <si>
    <t>CP5. Electrifying the Great Western railway to deliver more reliable, greener and quieter journeys for thousands of passengers.</t>
  </si>
  <si>
    <t>CP5. Electrification of the Midland Mainline, which runs from London to Sheffield via the East Midlands, to allow for more reliable and faster trains.</t>
  </si>
  <si>
    <t>CP5. Conversion of the power supply on the South West Main Line between Southampton Central and Basingstoke from 750V DC third rail to 25kV AC overhead as part of a scheme to provide improved rail freight capacity from Southampton Port.</t>
  </si>
  <si>
    <t>CP5. Railway route linking the Great Western Main Line, Oxford, Bicester, Milton Keynes, Bedford, Cambridge, Ipswich and Norwich.</t>
  </si>
  <si>
    <t>CP5. A programme of works to support journey time and performance improvements;</t>
  </si>
  <si>
    <t>CP5. Electrification of Welsh Valley lines network, enabling more efficient operation of passenger services.</t>
  </si>
  <si>
    <t>CP5. A programme of works to enable the Oxford-Bedford element of the East West Rail Link</t>
  </si>
  <si>
    <t>CP5. Network Rail's renewals programme - delivery modern equivalent replacement of rail infrastructure to maintain required asset standard.</t>
  </si>
  <si>
    <t>CP5. Network Rail's enhancements programme - delivery of those projects/programmes not shown individually to increase performance/capacity of rail network</t>
  </si>
  <si>
    <t>Network Rail - Stations</t>
  </si>
  <si>
    <t>Network Rail - electrification</t>
  </si>
  <si>
    <t>Network Rail - Other</t>
  </si>
  <si>
    <t>SE power supply upgrade</t>
  </si>
  <si>
    <t>CP5. Improve capacity and reduce journey times on the East Coast Main Line</t>
  </si>
  <si>
    <t>Thor Cogeneration (Brine Field/Seal Sands)</t>
  </si>
  <si>
    <t>AMP6 projected capital</t>
  </si>
  <si>
    <t>East Anglia 1</t>
  </si>
  <si>
    <t>Hirwaun</t>
  </si>
  <si>
    <t>Meaford Energy Centre</t>
  </si>
  <si>
    <t>Progress Power Station</t>
  </si>
  <si>
    <t>Consents approved</t>
  </si>
  <si>
    <t>The Tube - Line upgrades</t>
  </si>
  <si>
    <t>Northern line upgrade</t>
  </si>
  <si>
    <t>Northern line upgrade part 2 (&amp; Jubilee extra trains)</t>
  </si>
  <si>
    <t>Northern line extension (net zero impact on PSBR since privately financed, gross capital costs shown here)</t>
  </si>
  <si>
    <t>Sub-surface upgrade</t>
  </si>
  <si>
    <t>Future Tube Upgrades</t>
  </si>
  <si>
    <t>Tube Reliability Programme</t>
  </si>
  <si>
    <t>Station Upgrades</t>
  </si>
  <si>
    <t>Paddington (Hammersmith &amp; City line)</t>
  </si>
  <si>
    <t>Victoria</t>
  </si>
  <si>
    <t>Tottenham Court Road</t>
  </si>
  <si>
    <t>Bond Street</t>
  </si>
  <si>
    <t>Bank (W&amp;C)</t>
  </si>
  <si>
    <t>Bank (Main scheme)</t>
  </si>
  <si>
    <t>Camden Town</t>
  </si>
  <si>
    <t>Holborn</t>
  </si>
  <si>
    <t>Future upgrades, including Paddington (Bakerloo line)</t>
  </si>
  <si>
    <t>Growth station schemes, including Elephant and Castle, Woolwich and Tottenham Hale (partially offset with developer contributions)</t>
  </si>
  <si>
    <t>Tube Customer Service Transformation</t>
  </si>
  <si>
    <t>Rolling Stock</t>
  </si>
  <si>
    <t>Surface Transport: Roads Upgrade Programme</t>
  </si>
  <si>
    <t>Technology to enhance reliability of existing network inc. tackling pinch-points</t>
  </si>
  <si>
    <t>Major road schemes</t>
  </si>
  <si>
    <t>Bus priority</t>
  </si>
  <si>
    <t>Cycling programme</t>
  </si>
  <si>
    <t>Installed capacity 0.5 bcm. Awaiting consents - rejected by SoS April 2013.</t>
  </si>
  <si>
    <t>DECC - Smart Meters Team</t>
  </si>
  <si>
    <t>Road safety</t>
  </si>
  <si>
    <t>Surface Transport: Other capital</t>
  </si>
  <si>
    <t>Bus infrastructure and vehicles</t>
  </si>
  <si>
    <t>Congestion Charge, LEZ and Enforcement</t>
  </si>
  <si>
    <t>Other Surface Transport (inc overprogramming)</t>
  </si>
  <si>
    <t>Tramlink</t>
  </si>
  <si>
    <t>Platform works at Wimbledon</t>
  </si>
  <si>
    <t>Procurement of four additional trams(included in figures above)</t>
  </si>
  <si>
    <t>London Overground</t>
  </si>
  <si>
    <t>Additional carriages on London Overground trains</t>
  </si>
  <si>
    <t>DLR</t>
  </si>
  <si>
    <t>Double tracking of north route</t>
  </si>
  <si>
    <t>River</t>
  </si>
  <si>
    <t>Gallions Reach crossing</t>
  </si>
  <si>
    <t>Other capital including asset renewal for DLR and London Overground, project contingency and overprogramming</t>
  </si>
  <si>
    <t>Gatwick Capital Investment Programme Q5</t>
  </si>
  <si>
    <t>CAA (Q5 Decision and Q5+1 Doc, and Q6 final proposals - 13/14 based on Gatwick investment programme)</t>
  </si>
  <si>
    <t>http://www.gatwickairport.com/?attach_external_tab&amp;123205888&amp;4&amp;0&amp;0&amp;0&amp;0&amp;Google%20Chrome%20Frame</t>
  </si>
  <si>
    <t>Gatwick Capital Investment Programme Q6</t>
  </si>
  <si>
    <t>Heathrow Capital Investment Programme Q5</t>
  </si>
  <si>
    <t>Heathrow Capital Investment Programme Q6</t>
  </si>
  <si>
    <t>NR enhancement plan - and ORR CP5 final determination</t>
  </si>
  <si>
    <t>CP4 - Other investment - Enhancements</t>
  </si>
  <si>
    <t>CP4 Network Rail's enhancements programme - delivery of those projects/programmes not shown individually to increase performance/capacity of rail network</t>
  </si>
  <si>
    <t>CP5 - Other investment - Enhancements</t>
  </si>
  <si>
    <t>CP4 - Other investment - Renewals</t>
  </si>
  <si>
    <t>CP5 - Other investment - Renewals</t>
  </si>
  <si>
    <t xml:space="preserve">Thameslink </t>
  </si>
  <si>
    <t>Programme to radically increase capacity on one of Europe's busiest stretches of railway, the thameslink route</t>
  </si>
  <si>
    <t>£6,000 m</t>
  </si>
  <si>
    <t>Intercity Express Programme</t>
  </si>
  <si>
    <t>The Intercity Express Programme is a package of gauge, track and platform enhancements on the East Coast and Great Western Main lines to enable deployment of superfast trains in CP5</t>
  </si>
  <si>
    <t>Outturn data are the latest National Accounts figures from ONS - Last updated 26 September 2013</t>
  </si>
  <si>
    <t>Forecast data are consistent with OBR Budget Report data 20 March 2013</t>
  </si>
  <si>
    <t>2016 to 2020c</t>
  </si>
  <si>
    <t>Lower Thames Crossing</t>
  </si>
  <si>
    <t>2013 onwards</t>
  </si>
  <si>
    <t>Build solid (FED) ILW retrieval &amp; processing facility</t>
  </si>
  <si>
    <t>NG has looked at this from the perspective of the RIIO 8 year period within which National Grid currently operates and as such Date of Allocated funding is set to the date of GDx acceptance of the Final Proposals from Ofgem and the expiry date for existing frameworks is 2021.  Also the column titled Total capex cost is set to the period 2013/14 - 2020/21 inclusive and not including 2011/12 and 2012/13 as the values are not as easily comparable being from different regulatory frameworks. Framework used is NEC Option 3.</t>
  </si>
  <si>
    <t xml:space="preserve">NG has looked at this from the perspective of the RIIO 8 year period within which National Grid currently operates and as such Date of Allocated funding is set to the date of GDx acceptance of the Final Proposals from Ofgem and the expiry date for existing frameworks is 2021.  Also the column titled Total capex cost is set to the period 2013/14 - 2020/21 inclusive and not including 2011/12 and 2012/13 as the values are not as easily comparable being from different regulatory frameworks. Procurement is mainly sub-contracted. This relates to the component of Asset Health investment categorised as CAPEX.  </t>
  </si>
  <si>
    <t>Active Programme</t>
  </si>
  <si>
    <t>Schemes in Scoping</t>
  </si>
  <si>
    <t>Consented schemes</t>
  </si>
  <si>
    <t>Schemes in planning</t>
  </si>
  <si>
    <t>Other capital projects &gt;£50m</t>
  </si>
  <si>
    <t>Electric Spine - Basingstoke to Southampton DC to AC conversion</t>
  </si>
  <si>
    <t>AMP6 - projected 1st year spend</t>
  </si>
  <si>
    <t>Crossrail will deliver a new high-frequency rail service and supporting infrastructure for London and the South East, with 13 miles of twin tunnels and eight new underground stations across central London.  Services will run from Maidenhead and Heathrow in the west to Shenfield in the east and Abbey Wood in the south east. The central tunnel will open in Dec 2018 with full services commencing in Dec 2019.</t>
  </si>
  <si>
    <t>Schemes in construction</t>
  </si>
  <si>
    <t>Assorted capacity projects</t>
  </si>
  <si>
    <t>2012/13 (Q4)</t>
  </si>
  <si>
    <t>2013/14 (Q4)</t>
  </si>
  <si>
    <t>2013/14 (Q1)</t>
  </si>
  <si>
    <t>2011/12 (Q4)</t>
  </si>
  <si>
    <t>2012/13 (Q1)</t>
  </si>
  <si>
    <t>Pinchpoint schemes</t>
  </si>
  <si>
    <t>Roads - HA pinchpoints</t>
  </si>
  <si>
    <t>Roads - LA pinchpoints</t>
  </si>
  <si>
    <t>Local pinchpoint fund</t>
  </si>
  <si>
    <t>Pinchpoints Tranches 1, 2 and 3</t>
  </si>
  <si>
    <t>NR draft plan - and ORR CP5 final determination</t>
  </si>
  <si>
    <t>http://www.environment-agency.gov.uk/research/planning/118129.aspx</t>
  </si>
  <si>
    <t>http://www.hefce.ac.uk/whatwedo/rsrch/howfundr/ukrpif201215/</t>
  </si>
  <si>
    <t>https://www.innovateuk.org/uk/-/catapult-centres</t>
  </si>
  <si>
    <t>https://www.gov.uk/government/publications/uk-agricultural-technologies-strategy/uk-agricultural-technologies-strategy-executive-summary</t>
  </si>
  <si>
    <t>http://www.diamond.ac.uk/Home/Beamlines/PhaseIII.html</t>
  </si>
  <si>
    <t>http://www.elixir-europe.org/</t>
  </si>
  <si>
    <t>http://www.pirbright.ac.uk/</t>
  </si>
  <si>
    <t>http://www.reactionengines.co.uk/sabre.html</t>
  </si>
  <si>
    <t>https://www.gov.uk/government/policies/reducing-and-managing-waste/supporting-pages/waste-infrastructure-delivery-programme</t>
  </si>
  <si>
    <t>http://www.thamestidewaytunnel.co.uk/</t>
  </si>
  <si>
    <t>http://www.ofwat.gov.uk/pricereview/pr09phase3/det_pr09_finalfull.pdf</t>
  </si>
  <si>
    <t>Planning &amp; Consents</t>
  </si>
  <si>
    <t>16/21 figures are 16/17 spend only, the balance of  CP5 spend is included in the other investments row. Capex are only to 16/17
Figures are provisional, pending NR CP5 enhancement plan.</t>
  </si>
  <si>
    <t xml:space="preserve">NR enhancement plan </t>
  </si>
  <si>
    <t>CP4/5 Programme of rail improvements for freight access</t>
  </si>
  <si>
    <t>CP4. Network Rail's renewals programme - delivery modern equivalent replacement of rail infrastructure to maintain required asset standard.</t>
  </si>
  <si>
    <t xml:space="preserve">CP4/5. Electrification of North West lines, significant part of Northern Hub </t>
  </si>
  <si>
    <t>CP4</t>
  </si>
  <si>
    <t>CP4/5. A programme of improvements to upgrade the main railway lines between Edinburgh and Glasgow.</t>
  </si>
  <si>
    <t>CP4/5. Increasing capacity on the Midland Mainline, which runs from London to Sheffield via the East Midlands.</t>
  </si>
  <si>
    <t>CP 4 Investment in infrastructure to enable longer trains on key routes within South East England</t>
  </si>
  <si>
    <t>CP4/5 Improving the environment at stations</t>
  </si>
  <si>
    <t>CP4/5 Upgrade to Reading station</t>
  </si>
  <si>
    <t>Procurement (Other) - Mainly subcontracted. This programme operates under the uncertainty mechanism.</t>
  </si>
  <si>
    <t>North West Electrification (Northern Hub)</t>
  </si>
  <si>
    <t>Manchester Victoria</t>
  </si>
  <si>
    <t>Figures in National Stations Improvement Programme</t>
  </si>
  <si>
    <t xml:space="preserve">Peterborough  </t>
  </si>
  <si>
    <t>Management Motorway</t>
  </si>
  <si>
    <t>Bristol Port - Helius Energy</t>
  </si>
  <si>
    <t>Ferrybridge Multifuel 1</t>
  </si>
  <si>
    <t>Bristol Port Biomass</t>
  </si>
  <si>
    <t>Ferrybridge Biomass / SSE</t>
  </si>
  <si>
    <t>In Construction</t>
  </si>
  <si>
    <t>Science and Innovation Catapult Centres</t>
  </si>
  <si>
    <t>Project to apply the use of reaction engines in the creation of a new generation of space plane</t>
  </si>
  <si>
    <t>http://www.superfastcornwall.org</t>
  </si>
  <si>
    <t>Project documentation - ERDF convergence funds will provide up to £53.5m and BT will provide £78.5m</t>
  </si>
  <si>
    <t>https://www.gov.uk/broadband-delivery-uk</t>
  </si>
  <si>
    <t>http://www.northernpowergrid.com/</t>
  </si>
  <si>
    <t>http://www.sppowersystems.com/</t>
  </si>
  <si>
    <t>www.ukpowernetworks.co.uk</t>
  </si>
  <si>
    <t>https://restats.decc.gov.uk/app/reporting/decc/monthlyextract</t>
  </si>
  <si>
    <t>https://www.gov.uk/government/organisations/department-of-energy-climate-change</t>
  </si>
  <si>
    <t>DECC</t>
  </si>
  <si>
    <t>http://www2.nationalgrid.com/</t>
  </si>
  <si>
    <t>http://www.bristolairport.co.uk/</t>
  </si>
  <si>
    <t>CAA (Q5 Decision and Q5+1 Doc, and Q6 final proposals). Figures from 13/14 based on HAL's ABP</t>
  </si>
  <si>
    <t>www.caa.co.uk/application.aspx?catid=33&amp;pagetype=65&amp;appid=11&amp;mode=detail&amp;id=5783</t>
  </si>
  <si>
    <t>www.caa.co.uk/homepage.aspx</t>
  </si>
  <si>
    <t>www.nats.aero/wp-content/uploads/2012/07/NATSEnRoute10YearPlanMarch2010.pdf</t>
  </si>
  <si>
    <t>http://www.tfl.gov.uk/corporate/about-tfl/investorrelations/1462.aspx</t>
  </si>
  <si>
    <t>http://www.rail-reg.gov.uk/server/show/nav.2177</t>
  </si>
  <si>
    <t>http://www.rail-reg.gov.uk/pr13/publications/final-determination.php</t>
  </si>
  <si>
    <t>http://www.networkrail.co.uk/nsip/</t>
  </si>
  <si>
    <t>http://www.highways.gov.uk/roads</t>
  </si>
  <si>
    <t>http://www.highways.gov.uk/roads)</t>
  </si>
  <si>
    <t>http://www.highways.gov.uk/our-road-network/managing-our-roads/improving-our-network/pinch-point-programme/</t>
  </si>
  <si>
    <t>Highways Agency Pinchpoint Programme</t>
  </si>
  <si>
    <t>http://www.highways.gov.uk/</t>
  </si>
  <si>
    <t>https://www.gov.uk/government/organisations/department-for-transport</t>
  </si>
  <si>
    <t>http://www.bristolport.co.uk/</t>
  </si>
  <si>
    <t>http://www.portoffelixstowe.co.uk/</t>
  </si>
  <si>
    <t>http://peelports.co.uk/port-authorities/port-of-liverpool</t>
  </si>
  <si>
    <t>http://www.abports.co.uk/</t>
  </si>
  <si>
    <t>http://www.pdports.co.uk/en/our-locations/teesport/</t>
  </si>
  <si>
    <t>http://www2.nationalgrid.com/UK/Services/Electricity-connections/Industry-products/TEC-Register/</t>
  </si>
  <si>
    <t>www.glasgowairport.com/</t>
  </si>
  <si>
    <t>www.lydd-airport.co.uk/</t>
  </si>
  <si>
    <t>http://www.hs2.org.uk/</t>
  </si>
  <si>
    <t>www.crossrail.co.uk/</t>
  </si>
  <si>
    <t>Crossrail Investment Model</t>
  </si>
  <si>
    <t>The 14.5bn expected cost excludes rolling astock and depot contracts. Includes Network Rail Spend.</t>
  </si>
  <si>
    <t>Don Valley CCS project</t>
  </si>
  <si>
    <t>Peterhead CCS project</t>
  </si>
  <si>
    <t>Captain Clean Energy CCS Project</t>
  </si>
  <si>
    <t>Teeside Low Carbon CCS Project</t>
  </si>
  <si>
    <t>White Rose CCS project</t>
  </si>
  <si>
    <t>Single Local Growth Fund - Transport</t>
  </si>
  <si>
    <t>Local Sustainable Transport Fund (SR10)</t>
  </si>
  <si>
    <t>National Roads maintenance SR13</t>
  </si>
  <si>
    <t>SR13</t>
  </si>
  <si>
    <t>CP5. A programme of works to support journey time and performance improvements</t>
  </si>
  <si>
    <t xml:space="preserve">Silvertown tunnel </t>
  </si>
  <si>
    <t>Net zero impact on PSBR since privately financed, gross capital costs shown here</t>
  </si>
  <si>
    <t>6.2 miles of new dual carriageway from the A6 south east of Stockport to Manchester Airport link road including 2.5 miles of the existing A555</t>
  </si>
  <si>
    <t>Consultation closed Feb 2013</t>
  </si>
  <si>
    <t>Schemes in scoping</t>
  </si>
  <si>
    <t>Tilbury Green Power</t>
  </si>
  <si>
    <t>http://www.superfast-openreach.co.uk</t>
  </si>
  <si>
    <t>http://www.northernpowergrid.com</t>
  </si>
  <si>
    <t>http://www.enwl.co.uk</t>
  </si>
  <si>
    <t>http://www.westernpower.co.uk</t>
  </si>
  <si>
    <t>http://www.sse.com/Home</t>
  </si>
  <si>
    <t>http://www.sppowersystems.com</t>
  </si>
  <si>
    <t>To enable long-haul flights by extension of main runway and associated infrastructure and new air traffic control tower</t>
  </si>
  <si>
    <t>Expansion of airport - extended terminal building, provision of new aircraft stands, public transport interchange, car parking and and ancillary supporting developments.</t>
  </si>
  <si>
    <t>Thameslink, Crossrail &amp; Croxley link</t>
  </si>
  <si>
    <t>2020/30</t>
  </si>
  <si>
    <t>Row Labels</t>
  </si>
  <si>
    <t>Grand Total</t>
  </si>
  <si>
    <t>Values</t>
  </si>
  <si>
    <t>Sum of 2013 onwards</t>
  </si>
  <si>
    <t>Intellectual Capital</t>
  </si>
  <si>
    <t>SSE Transmission - additional expenditure</t>
  </si>
  <si>
    <t>Scottish transmission - additional RIIO expenditure for period 2013 to 2021</t>
  </si>
  <si>
    <t>Beauly-Denny 400kv line</t>
  </si>
  <si>
    <t>Beauly-Blackhillock-Kintore 275kv reconductoring</t>
  </si>
  <si>
    <t>Beauly-Mossford 132kv line</t>
  </si>
  <si>
    <t>Kintrye-Hunterston upgrade</t>
  </si>
  <si>
    <t>Base Capex and Connections</t>
  </si>
  <si>
    <t>Top 40 Project</t>
  </si>
  <si>
    <t>Welsh Valleys electrification</t>
  </si>
  <si>
    <t>Sum of 2013/14c</t>
  </si>
  <si>
    <t>Sum of 2014/15c</t>
  </si>
  <si>
    <t>Sum of 2015/16c</t>
  </si>
  <si>
    <t>Sum of 2016 to 2020c</t>
  </si>
  <si>
    <t>http://www.stockport.gov.uk/</t>
  </si>
  <si>
    <t>LA Maintenance SR13</t>
  </si>
  <si>
    <t>balance moved to Single Local Growth Fund</t>
  </si>
  <si>
    <t>Highways Maintenance Block Funding (SR10 allocation)</t>
  </si>
  <si>
    <t>This entry relates to the highways maintenance  Block for 2011/12 to 2014/15 which is capital grant allocated to authorities by formula and not ring-fenced. Includes SR10 allocation and additional £140 13/14 and £75m 14/15</t>
  </si>
  <si>
    <t>HA</t>
  </si>
  <si>
    <t>Less renewals noted above. Includes allocation fof 80% road resurfacing</t>
  </si>
  <si>
    <t>https://www.gov.uk/government/organisations/department-for-communities-and-local-government</t>
  </si>
  <si>
    <t>www.dft.gov.uk</t>
  </si>
  <si>
    <t>16/21 figures are 16/17 spend only, the balance of  CP5 spend is included in the other investments row. Capex are only to 16/17
Figures are provisional, pending NR CP5 enhancement plan. Dates to be confirmed.</t>
  </si>
  <si>
    <t>started</t>
  </si>
  <si>
    <t>Various</t>
  </si>
  <si>
    <t>BT originally expected that the programme will cover 2/3 of the UK by 2015. BT now aiming to complete rollout by spring 2014 as programme is ahead of schedule by 18 months. Costs estimated from BT business case.</t>
  </si>
  <si>
    <t>Beauly-Dounreay 2nd 275kV circuit</t>
  </si>
  <si>
    <t>www.sse.com/dounreaybeauly</t>
  </si>
  <si>
    <t>www.sse.com/BeaulyDenny</t>
  </si>
  <si>
    <t>www.sse.com/Beaulykintore</t>
  </si>
  <si>
    <t>www.sse.com/beaulymossford</t>
  </si>
  <si>
    <t>www.sse.com/KintyreHunterston</t>
  </si>
  <si>
    <t>SSE</t>
  </si>
  <si>
    <t>SSE is installing a 400kV overhead electricity transmission line to replace an existing 132kV overhead transmission line between Beauly and Denny.</t>
  </si>
  <si>
    <t>SSE is undertaking a programme of refurbishment for the existing Beauly to Blackhillock electricity transmission line, including the replacement of the existing conductors (wires) with modern conductors</t>
  </si>
  <si>
    <t xml:space="preserve">This project is an upgrade and reinforcement of the existing electricity transmission network between Dounreay, Caithness and Beauly. The work has now been completed. 
</t>
  </si>
  <si>
    <t xml:space="preserve">The purpose of replacing the existing lines with a higher capacity double cirucit is to increase the transmission capacity for outlying mainland areas (in this case, namely Ross &amp; Cromarty county) to enable renewable generation export from this region onto the main system </t>
  </si>
  <si>
    <t>The purpose of these reinforcements is to increase the transmission capacity for outlying mainland areas (in this case, namely the Argyll county area) to enable renewable generation export from this region onto the main system</t>
  </si>
  <si>
    <t>This category includes for works associated with Base Capital Upgrades, Customer Connections and pre-construction works.  An estimate of £100m per annum has been forecast and will be subject to variation depending on levels of connected generation.</t>
  </si>
  <si>
    <t>www.sse.com</t>
  </si>
  <si>
    <t>2012/2013</t>
  </si>
  <si>
    <t>Totals include LA and third party contributions. Spend profiles assume contributions spend at same profile as DfT contribution</t>
  </si>
  <si>
    <t>Unallocated funds</t>
  </si>
  <si>
    <t>Local pinchpoint fund - unallocated funds</t>
  </si>
  <si>
    <t>Unallocated DfT spend only.</t>
  </si>
  <si>
    <t>National Composite Centre and National Biologics Industrial Innovation Centre</t>
  </si>
  <si>
    <t>BIS</t>
  </si>
  <si>
    <t>National Grid Gas - London - RIIO-GD1</t>
  </si>
  <si>
    <t>National Grid Gas - East of England - RIIO-GD1</t>
  </si>
  <si>
    <t>National Grid Gas - North West - RIIO-GD1</t>
  </si>
  <si>
    <t>National Grid Gas - West Midlands - RIIO-GD1</t>
  </si>
  <si>
    <t>Northern Gas Networks - RIIO-GD1</t>
  </si>
  <si>
    <t>Scotia Gas Networks - Scotland - RIIO-GD1</t>
  </si>
  <si>
    <t>Scotia Gas Networks - Southern - RIIO-GD1</t>
  </si>
  <si>
    <t>Wales &amp; West Utilities - RIIO-GD1</t>
  </si>
  <si>
    <t>https://www.ofgem.gov.uk/network-regulation-%e2%80%93-riio-model/riio-gd1-price-control</t>
  </si>
  <si>
    <t>OFGEM</t>
  </si>
  <si>
    <t>Note: these figures are based on a simplifying assumption that 75% of iron mains replacement expenditure constitutes capex, reflecting Ofgem's policy of transitioning from 50% capitalisation in GDPCR to 100% capitalisation by the end of RIIO-GD1 for this type of expenditure</t>
  </si>
  <si>
    <t>RIIO-ED1 Price Control</t>
  </si>
  <si>
    <t>RIIIO-EDI Price Control</t>
  </si>
  <si>
    <t>https://www.ofgem.gov.uk/network-regulation-%E2%80%93-riio-model/riio-ed1-price-control</t>
  </si>
  <si>
    <t>Ofgem</t>
  </si>
  <si>
    <t>£1.2bn of public funding used as gap funding to support private sector investment to ensure that every premise in the UK gets standard broadband and as many as possible get superfast broadband. Central govt funding is £530m from the TV Licence Fee. A further £250m was announced in the 2013 Spending Review to support further investment from 2015 to 2017. All projected figures are estimates at the time of publication.</t>
  </si>
  <si>
    <t>Additional RIIO expenditure subject to further development &amp; approval for the period 2013/14 to 2020/21.</t>
  </si>
  <si>
    <t>Manchester Metrolink Extensions</t>
  </si>
  <si>
    <t>Nottingham NET2</t>
  </si>
  <si>
    <t>Norwich Northern Distributor Road</t>
  </si>
  <si>
    <t>Leeds New Generation Transport</t>
  </si>
  <si>
    <t>Sunderland Strategic Corridor</t>
  </si>
  <si>
    <t>Kingskerswell By-pass (Devon/Torbay A380)</t>
  </si>
  <si>
    <t xml:space="preserve">Midland Metro </t>
  </si>
  <si>
    <t>Figure includes Technical allocation for both North East and Yorkshire and Humber</t>
  </si>
  <si>
    <t>Surface Renewals London</t>
  </si>
  <si>
    <t>Sub-Surface Renewals London</t>
  </si>
  <si>
    <t>The Tube - Line Upgrades Non-upgrade core asset renewal, including track, signals, legacy trains and signalling, lifts and escalators and other station assets</t>
  </si>
  <si>
    <t>Skerries</t>
  </si>
  <si>
    <t xml:space="preserve">Westray South and Cantick Head </t>
  </si>
  <si>
    <t>Brough Ness</t>
  </si>
  <si>
    <t>Torr Head, Fair Head</t>
  </si>
  <si>
    <t xml:space="preserve">Skerries - Tidal </t>
  </si>
  <si>
    <t xml:space="preserve">Westray South and Cantick Head - Tidal </t>
  </si>
  <si>
    <t xml:space="preserve">Torr Head, Fair Head - Tidal </t>
  </si>
  <si>
    <t>Farr Point</t>
  </si>
  <si>
    <t>Farr Point Wave</t>
  </si>
  <si>
    <t>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t>
  </si>
  <si>
    <t>Costa Head and Brough Head Phase 1</t>
  </si>
  <si>
    <t>Costa Head and Brough Head Phase 2</t>
  </si>
  <si>
    <t>Eastern HVDC Link</t>
  </si>
  <si>
    <t>Western HVDC link</t>
  </si>
  <si>
    <t>This entry relates to those schemes that were either in construction and/or have a live funding approval (Full, Conditional or Programme Entry) including schemes that were in the Development Pool. The total publicly funded investment is the DfT funding provided and does not include the local authority contribution.  SR13 Local Majors are moved to the the SIngle Local Growth Fund. Figures exclude named schemes listed elsewhere in the pipeline</t>
  </si>
  <si>
    <t>Funding comes from DfT and LA. Cash profile represents DfT grant only.</t>
  </si>
  <si>
    <t>Single Local Growth Fund includes the local majors, local sustainable transport fund and the integrated transport block, less projects identified elsewhere on the pipeline</t>
  </si>
  <si>
    <t>www.metrolink.co.uk/FUTUREMETROLINK/Pages/default.aspx</t>
  </si>
  <si>
    <t>www.thetram.net/</t>
  </si>
  <si>
    <t>www.ngtmetro.com/</t>
  </si>
  <si>
    <t>www.norfolk.gov.uk/Travel_and_transport/Transport_future_for_Norfolk/Transport_for_Norwich/Northern_Distributor_Road_and_Postwick_Junction/index.htm</t>
  </si>
  <si>
    <t>https://www.gov.uk/government/publications/sunderland-strategic-transport-corridor-new-wear-bridge</t>
  </si>
  <si>
    <t>http://www.devon.gov.uk/kingskerswellbypass.htm</t>
  </si>
  <si>
    <t>http://nxbus.co.uk/the-metro/</t>
  </si>
  <si>
    <t>http://www.merseygateway.co.uk/</t>
  </si>
  <si>
    <t xml:space="preserve"> HMT PFI 6-monthly return (updated by LA)</t>
  </si>
  <si>
    <t>Mobile Infrastructure Programme (MIP)</t>
  </si>
  <si>
    <t>https://www.gov.uk/government/organisations/department-for-culture-media-sport</t>
  </si>
  <si>
    <t>Croxley Rail Link (Watford)</t>
  </si>
  <si>
    <t>www.croxleyraillink.com/</t>
  </si>
  <si>
    <t>Late 2013</t>
  </si>
  <si>
    <t>included in above</t>
  </si>
  <si>
    <t>Anglesey Aluminium Metal Renewables Ltd</t>
  </si>
  <si>
    <t>Pollington Energy Park</t>
  </si>
  <si>
    <t>Stallingborough Alpha (Helius Energy Biomass Plant Resubmission)</t>
  </si>
  <si>
    <t>Peterborough Energy Park (Green Energy Parks - Gasification)</t>
  </si>
  <si>
    <t>Bristol Liquid Biomass</t>
  </si>
  <si>
    <t>16/21 figures are 16/17 spend only, the balance of  CP5 spend is included in the other investments row. End date based on DfT statement - The latest order for the trains, will be operational on the East Coast Main Line from 2019
Figures are provisional, pending NR CP5 enhancement plan. Dates to be confirmed.</t>
  </si>
  <si>
    <t>CCS Demonstrator</t>
  </si>
  <si>
    <t>Further works will be undertaken as part of CP5. Allocations currenting in the "other enhancements" pot</t>
  </si>
  <si>
    <t>EDF press relese</t>
  </si>
  <si>
    <t>Other schemes in scoping</t>
  </si>
  <si>
    <t>HS2</t>
  </si>
  <si>
    <t>Cash profile only includes SR13 allocation</t>
  </si>
  <si>
    <t>Balancing item reflecting the SR13 funding announcement</t>
  </si>
  <si>
    <t>Project planned and funding confirmed but at a very early stage</t>
  </si>
  <si>
    <t>Funding profile taken from amended business case presented to LFCF</t>
  </si>
  <si>
    <t>Figures based on BBSRC letter confirming funding for Pirbright Development phase 2</t>
  </si>
  <si>
    <t>Spend profile is estimated and spread over the expected life of the contract. Some spend may be brought forward</t>
  </si>
  <si>
    <t xml:space="preserve">The data covers current and future projects, some of which are at a very early stage and are subject to change. Financial information is taken from BIS updates and documents detailing initial funding settlements. </t>
  </si>
  <si>
    <t>Other Capital Projects,  such as flood warning projects, complying with statutory requirements, including H&amp;S, and other capital works, such as bridges and coastal monitoring, grouped by RFCC area. Cash flows and allocations are indicative and subject to change.</t>
  </si>
  <si>
    <t>FCERM schemes (works on the ground) and long-term strategies within the given RFCC area, with indicative cash flows and allocations subject to change.</t>
  </si>
  <si>
    <t xml:space="preserve">Infrastructure News/Journals, WIDP Transactor advisors, waste private Industry contacts &amp; public information </t>
  </si>
  <si>
    <t xml:space="preserve">EDF </t>
  </si>
  <si>
    <t>Manchester Smart motorways, M60 J8 to M62 J20</t>
  </si>
  <si>
    <t>2013/2014</t>
  </si>
  <si>
    <t>Bristol Temple Meads</t>
  </si>
  <si>
    <t>Government, Ofcom and radio sector in ongoing discussion to agree the final setlement of the local DAB build out network to support a future digital radio switchover. An MOU was signed in 2012 for Phase 2 (70% houshold coverage to 90%). Further discussions ongoing on Phase 3 (90% - 97% matching FM) as part of decisions about Radio Switchover. Govt will set out further delivery strategy to inform decision on radio switchover in Dec 2013. Costing is indicative only at this time.</t>
  </si>
  <si>
    <t>Figures from 2015/16 onwards are purely indicative. They are based on individual operators’ business plans and have not yet been approved by Ofgem. Note that the investment numbers quoted here are a subset of what is normally understood as investment, consistent with a form used by Ofgem to benchmark costs across distribution companies. Typically, they include physical assets that carry electricity and exclude expenditure needed for items such as designing the networks, IT, buildings and pensions. It should be noted that DECC’s estimate provided in the July EMR impact assessment used a broader definition of investment that included these additional items.</t>
  </si>
  <si>
    <t>Northern Powergrid</t>
  </si>
  <si>
    <t>Western Power Distribution</t>
  </si>
  <si>
    <t>Scottish Power Energy Networks</t>
  </si>
  <si>
    <t>UK Power Networks</t>
  </si>
  <si>
    <t>http://edfenergy.presscentre.com/News-Releases/Agreement-reached-on-commercial-terms-for-the-planned-Hinkley-Point-C-nuclear-power-station-82.aspx</t>
  </si>
  <si>
    <t>Data for electricity generation has been drawn from DECC, National Grid TEC register (14 October 2013), Renewable Energy Planning Database (REPD), Developer websites and HM Treasury estimates except Hinkley Point C. For biomass, only those projects were considered which are &gt;= 50MW and whose applications were determined after 2007 as shown in REPD.</t>
  </si>
  <si>
    <t>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t>
  </si>
  <si>
    <t xml:space="preserve">Data for electricity generation has been drawn from DECC, National Grid TEC register (14 October 2013), Renewable Energy Planning Database (REPD), Developer websites and HM Treasury estimates except Hinkley Point C. </t>
  </si>
  <si>
    <t>DCMS and HM Treasury Spending Team</t>
  </si>
  <si>
    <t>Excludes BDUK investment. Assumption based on historical data that telecoms is approx 75% of total ONS estimate.</t>
  </si>
  <si>
    <t>Preferred Bidder under UK Government's CCS Commercialisation Programme. 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t>
  </si>
  <si>
    <t>Reserve Bidder under UK Government's CCS Commercialisation Programme. 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t>
  </si>
  <si>
    <t>Reserve Bidder under UK Government's CCS Commercialisation Programme. 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t>
  </si>
  <si>
    <t>Preferred Bidder under UK Government's CCS Commercialisation Programme. 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t>
  </si>
  <si>
    <t xml:space="preserve">Performance NERL 10 year plan from March 2010.
</t>
  </si>
  <si>
    <t xml:space="preserve">Project accelerated following the announcement in November 2012 that an additional £120m was to be invested in flood defences. Start and completion dates are subject to change due to the speed at which the projects have been accelerated. </t>
  </si>
  <si>
    <t xml:space="preserve">'Growth' project, which would otherwise have failed to attract sufficient funding to go ahead, has now been unlocked due to additional funding announced in November 2012. These projects are set to deliver land for development, while also creating jobs and increasing the number of households with improved protection from flooding. All projects must commence during the current Parliament. </t>
  </si>
  <si>
    <t>The earliest construction date and the service commencement date is subject to notification of public inquiry date following a decision from the SoS to call in. Different programmes are being worked up dependent on SoS actions so I have not changed this until that action is known. However, best case is that HCC programme slips by 12 months from the dates shown here.</t>
  </si>
  <si>
    <t>It is not possible to estimate the scale of the future investment for the PPP and Merchant schemes for which there is not much cost information at present. This is because PPP projects are not obligated to report to WIDP, except for those that have signed a Memorandum of Understanding and benefit from WIDP’s Transactor support. This makes it difficult to source data for PPP projects.</t>
  </si>
  <si>
    <t xml:space="preserve">Defra withdraw the provisional offer of Waste Infrastructure Credits (WIC) to Bradford and Calderdale in February 2013, which is still in procurement. The project is now listed as a PPP project. </t>
  </si>
  <si>
    <t>The AMP6 water and sewerage programme shown, represents industry historic minimum spend being undertaken as a minimum within the 2015/16 financial year. Water Companies have recently submitted their Business Plans to the industry regulator Ofwat, who are scrutinising the plans as part of the PR14 price review. Forecasts for 2015/16 and beyond will be updated following the completion of the price review process.</t>
  </si>
  <si>
    <t>The AMP6 water only programme shown, represents industry historic minimum spend being undertaken as a minimum within the 2015/16 financial year. Water Companies have recently submitted their Business Plans to the industry regulator Ofwat, who are scrutinising the plans as part of the PR14 price review. Forecasts for 2015/16 and beyond will be updated following the completion of the price review process.</t>
  </si>
  <si>
    <t>OFWAT</t>
  </si>
  <si>
    <t>The data covers projects that are not yet fully operational – i.e. from in procurement to projects in construction. It is not possible to estimate the scale of the future investment for the PPP and Merchant schemes for which there is not much cost information at present. This is because PPP projects are not obligated to report to WIDP, except for those that have signed a Memorandum of Understanding and benefit from WIDP’s Transactor support. This makes it difficult to source data for PPP projects.</t>
  </si>
  <si>
    <t>Installed capacity 0.5 bcm.</t>
  </si>
  <si>
    <t xml:space="preserve">Metering, supplier and other IT investment is non-regulated private investment. Comms and data capital investment required to support the shared communications network is regulated. Please note that the investment values given are based on calendar years, rather than fiscal years and is off of a base year of 2011. </t>
  </si>
  <si>
    <t>The values from 2012/13 onwards represent NDA's "current best estimate", which is based on their reference case programme and the inventory scenario used as the basis for the NDA's ARAC. The values do not include any contingency and are at 2013 money values.  All costs are assumed to be capex.</t>
  </si>
  <si>
    <t>See additional notes tab.</t>
  </si>
  <si>
    <t>Data only provided at aggregate level.</t>
  </si>
  <si>
    <t>The data provided comes from NDA project controls information on capital spend only against the spend category of ‘new construction’ for the next three years across the NDA Estate for projects over £10m.  Some of the projects against ‘new construction’ may include for plant and equipment requirements. There may be more than one contract in place to support a project where costs have been rolled up, or there are subsequent contracts still to be let in future years.</t>
  </si>
  <si>
    <t xml:space="preserve">The information is correct at the time of publication in Dec 2013. Following the procurement of the infrastructure provider, Arqiva, the programme is going in to substantive implementation at the end of 2013. </t>
  </si>
  <si>
    <t>Actuals are included for all schemes for 2011/12 and 2012/13, for the remaining years and for schemes under construction the profile represents the forecast outturn as @ end of November 2013.  Total capex represents the sum of the period 2011/2012 to 2020/2021 and does not therefore necessarily represent the total outturn cost of the scheme.</t>
  </si>
  <si>
    <t>Actuals are included for all schemes for 2011/12 and 2012/13, for future years the profile represents the forecast outturn as @ end of November 2013.  Total capex represents the sum of the period 2011/2012 to 2020/2021.</t>
  </si>
  <si>
    <t>Total Capex is for DPCR5 period. The figures consistent with the form used by Ofgem to benchmark costs.</t>
  </si>
  <si>
    <t>Profile represents funding allocation. Detailed programme yet to be established.Total capex represents the sum of the period 2011/2012 to 2020/2021.  and does not therefore necessarily represent the total outturn cost of the scheme</t>
  </si>
  <si>
    <t>Detailed programme yet to be established. Spend from SR13 allocations from 15/16 onwards.</t>
  </si>
  <si>
    <t>Unallocated funding from SR13.</t>
  </si>
  <si>
    <t>DCMS Spectrum policy team</t>
  </si>
  <si>
    <t xml:space="preserve">Joint project between NG, SPTL and SHETL. Costs are for NG works only. Pre-construction funding only approved. Any subsequent investment proposal would require regulatory approval. Economically regulated investment is also not generally confirmed beyond currently determined regulatory periods.
</t>
  </si>
  <si>
    <t>Series compensation on National Grid circuits. Costs are for NG works only. Any subsequent investment proposal would require regulatory approval. Economically regulated investment is also not generally confirmed beyond currently determined regulatory periods.</t>
  </si>
  <si>
    <t>Joint projects with Scottish transmission companies. Costs are for NG works only. Includes "Transmission Investment in Renewable Generation" (TIRG) works. Any subsequent investment proposal would require regulatory approval. Economically regulated investment is also not generally confirmed beyond currently determined regulatory periods.</t>
  </si>
  <si>
    <t>Joint National Grid - Scottish Power project. Some regulatory funding approved for aspects of this project. Any subsequent investment proposal would require regulatory approval. Economically regulated investment is also not generally confirmed beyond currently determined regulatory periods. Costs are for NG works only.</t>
  </si>
  <si>
    <t xml:space="preserve">Pre-construction assessment underway. Any subsequent investment proposal would require regulatory approval. NG has also held initial discussions with stakeholders including local authorities, Welsh Government, the Countryside Council for Wales, the Environment Agency Wales, Snowdonia National Park, Cadw, the generators and ScottishPower Energy Networks. 
</t>
  </si>
  <si>
    <t>Other works in National Grid Electricty Transmission investment programme from 2011/12 through to 2020/21. Any subsequent investment proposal would require regulatory approval. Economically regulated investment is also not generally confirmed beyond currently determined regulatory periods.</t>
  </si>
  <si>
    <t>Works to replace existing underground cable network in London into tunnels. Any subsequent investment proposal would require regulatory approval. Economically regulated investment is also not generally confirmed beyond currently determined regulatory periods.</t>
  </si>
  <si>
    <t>Works to upgrade transmission system capacity in Humberside. Any subsequent investment proposal would require regulatory approval. Economically regulated investment is also not generally confirmed beyond currently determined regulatory periods.</t>
  </si>
  <si>
    <t xml:space="preserve">Works to upgrade transmission system in East Anglia. Any subsequent investment proposal would require regulatory approval. Economically regulated investment is also not generally confirmed beyond currently determined regulatory periods.
</t>
  </si>
  <si>
    <t>Works to upgrade transmission system into London. Any subsequent investment proposal would require regulatory approval. Economically regulated investment is also not generally confirmed beyond currently determined regulatory periods.</t>
  </si>
  <si>
    <t>Works to provide transmission system capacity to mid-Wales. Any subsequent investment proposal would require regulatory approval. Economically regulated investment is also not generally confirmed beyond currently determined regulatory periods.</t>
  </si>
  <si>
    <t>Works to upgrade transmission system in North Wales. Does not include Wylfa-Pembroke HVDC costs. Any subsequent investment proposal would require regulatory approval. Economically regulated investment is also not generally confirmed beyond currently determined regulatory periods.</t>
  </si>
  <si>
    <t xml:space="preserve">Works to upgrade transmission system in south west. Any subsequent investment proposal would require regulatory approval. Economically regulated investment is also not generally confirmed beyond currently determined regulatory periods. </t>
  </si>
  <si>
    <t>Three options under consideration</t>
  </si>
  <si>
    <t>HMT estimate</t>
  </si>
  <si>
    <t>TFL submission to DfT/HMT during this summer’s spending review. Does not incorporate changes since then</t>
  </si>
  <si>
    <t>Count of projects</t>
  </si>
  <si>
    <t>Count of programmes</t>
  </si>
  <si>
    <t>Count of projects and programmes</t>
  </si>
  <si>
    <t>2013 Pipeline Values (constant 2012/13 prices)</t>
  </si>
  <si>
    <t>Sum of beyond 2020c</t>
  </si>
  <si>
    <t xml:space="preserve">Brough Ness - Tidal </t>
  </si>
  <si>
    <t>2012/13 (£m)</t>
  </si>
  <si>
    <t>Thames Estuary Phase 1</t>
  </si>
  <si>
    <t>2013/14 (£m)</t>
  </si>
  <si>
    <t>2014/15 (£m)</t>
  </si>
  <si>
    <t>2015/16 (£m)</t>
  </si>
  <si>
    <t>Total 2016/17 to 2019/20 (£m)</t>
  </si>
  <si>
    <t>2020/21 and Beyond  (£m)</t>
  </si>
  <si>
    <t>No. of projects in programme</t>
  </si>
  <si>
    <t>Roads</t>
  </si>
  <si>
    <t>AMP5 - The total (AMP5) Capex figures by companies have been published in the national document "Future Water &amp; Sewerage Charges 2010-15: Final Determinations".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All actual data are on a gross basis.
The AMP6 water and sewerage and water only data represents industry historic minimum spend being undertaken as a minimum within the 2015/16 financial year. Water Companies have recently submitted their Business Plans to the industry regulator Ofwat, who are scrutinising the plans as part of the PR14 price review. Forecasts for 2015/16 and beyond will be updated following the completion of the price review process.</t>
  </si>
  <si>
    <t>See notes</t>
  </si>
  <si>
    <t>This workbook contains the infrastructure investment pipelines that have been compiled by the government.</t>
  </si>
  <si>
    <t>For electricity generation, capital expenditure figures have been calculated using DECC's published levelised cost data for each technology and market intelligence on proportion of projects at various stages that make it to construction. As such, financial numbers are only provided on an aggregate level based on the status of the projects. Note that the relative levels of investment between technologies is subject to market forces and therefore figures are indicative of potential investment in each technology and are not a forecast of actual investment. This is in contrast to transmission and distribution projects which are subject to a regulatory price control mechanism and agreed in advance with Ofgem.</t>
  </si>
  <si>
    <t>2013 Additional Pipeline Notes</t>
  </si>
  <si>
    <t>Wylfa Newydd</t>
  </si>
  <si>
    <t>National Infrastructure Plan Pipeline Spreadsheet</t>
  </si>
  <si>
    <t>December 2013 Update</t>
  </si>
  <si>
    <t>This programme is no longer active</t>
  </si>
  <si>
    <t>EcoNomically regulated asset</t>
  </si>
  <si>
    <t>Projects completed and 2012/13 data</t>
  </si>
  <si>
    <t>Projects completed during the year 2012/13 have been removed for this pipeline, this has the effect of reducing the total value of investment in this period for the 2013 pipeline when compared to the 2012 pipeline.</t>
  </si>
  <si>
    <t>Rail Capex for projects starting in CP5 are the CP5 spend values only and exclude CP4 figures</t>
  </si>
  <si>
    <t>DfT SR13 settlement figures now included. Network Rail CP5 final determination figures added. TfL update added.</t>
  </si>
  <si>
    <t xml:space="preserve">The data covers current and provisional future projects, split between Regional Flood and Coastal Committee (RFCC) areas and is based upon provisional information provided by the Environment Agency. Figures provided are indicative and cash may move between years or between regions as the Environment Agency, working with Defra, prioritises and assesses projects on an ongoing basis. Growth projects - these projects are set to deliver land for development, while also creating jobs and increasing the number of households with improved protection from flooding. </t>
  </si>
  <si>
    <t>Spend profile based on the SR13 settlement figures to 2020/21, the total project cost is also shown in the pipeline (£42.6bn)</t>
  </si>
  <si>
    <t>The pipeline excludes all completed projects. However, the HA defines 'completed' projects as those where the road is Open for Traffic. In some instances there may still be some residual work being completed at a capital cost to the project e.g. landscaping or residual land compensatory payments.</t>
  </si>
  <si>
    <t>The pipeline is not a statement of need or a commitment to undertake any of the projects shown. It provides a strategic and more credible overview of the level of public and private infrastructure investment planned over the rest of this decade and beyond (though in sectors such as energy, ports and waste, the decision to go ahead with individual projects will be determined by the market).</t>
  </si>
  <si>
    <r>
      <t xml:space="preserve">The pipelines is based on unaudited administrative data and should not be considered as national statistics or as official statistics. The data is owned by Departments, Local Authorities or Companies that provided it.  Anyone using the pipeline data does so at their own risk and no responsibility is accepted by HM Government for any loss or liability which may arise from such use directly or indirectly.  In preparing and collating this </t>
    </r>
    <r>
      <rPr>
        <i/>
        <sz val="14"/>
        <rFont val="Calibri"/>
        <family val="2"/>
      </rPr>
      <t>National Infrastructure Plan Pipeline</t>
    </r>
    <r>
      <rPr>
        <sz val="14"/>
        <rFont val="Calibri"/>
        <family val="2"/>
      </rPr>
      <t xml:space="preserve"> commercially sensitive information has been removed for reasons of confidentiality.</t>
    </r>
  </si>
  <si>
    <t>http://www.nationalgrid.com/UK/Services/Electricity-connections/Industry-products/TEC-Register/</t>
  </si>
  <si>
    <t>https://www.gov.uk/government/collections/lower-thames-crossing</t>
  </si>
</sst>
</file>

<file path=xl/styles.xml><?xml version="1.0" encoding="utf-8"?>
<styleSheet xmlns="http://schemas.openxmlformats.org/spreadsheetml/2006/main">
  <numFmts count="44">
    <numFmt numFmtId="44" formatCode="_-&quot;£&quot;* #,##0.00_-;\-&quot;£&quot;* #,##0.00_-;_-&quot;£&quot;* &quot;-&quot;??_-;_-@_-"/>
    <numFmt numFmtId="43" formatCode="_-* #,##0.00_-;\-* #,##0.00_-;_-* &quot;-&quot;??_-;_-@_-"/>
    <numFmt numFmtId="164" formatCode="&quot;£&quot;#,##0.00\ \m"/>
    <numFmt numFmtId="165" formatCode="yyyy"/>
    <numFmt numFmtId="166" formatCode="mmm\-yyyy"/>
    <numFmt numFmtId="167" formatCode="0.0"/>
    <numFmt numFmtId="168" formatCode="_(* #,##0_);_(* \(#,##0\);_(* &quot; - &quot;_);_(@_)"/>
    <numFmt numFmtId="169" formatCode="0.000"/>
    <numFmt numFmtId="170" formatCode="0.0000"/>
    <numFmt numFmtId="171" formatCode="#,##0_);[Red]\(#,##0\);&quot;-&quot;_);[Blue]&quot;Error-&quot;@"/>
    <numFmt numFmtId="172" formatCode="#,##0.0_);[Red]\(#,##0.0\);&quot;-&quot;_);[Blue]&quot;Error-&quot;@"/>
    <numFmt numFmtId="173" formatCode="#,##0.00_);[Red]\(#,##0.00\);&quot;-&quot;_);[Blue]&quot;Error-&quot;@"/>
    <numFmt numFmtId="174" formatCode="&quot;£&quot;* #,##0_);[Red]&quot;£&quot;* \(#,##0\);&quot;£&quot;* &quot;-&quot;_);[Blue]&quot;Error-&quot;@"/>
    <numFmt numFmtId="175" formatCode="&quot;£&quot;* #,##0.0_);[Red]&quot;£&quot;* \(#,##0.0\);&quot;£&quot;* &quot;-&quot;_);[Blue]&quot;Error-&quot;@"/>
    <numFmt numFmtId="176" formatCode="&quot;£&quot;* #,##0.00_);[Red]&quot;£&quot;* \(#,##0.00\);&quot;£&quot;* &quot;-&quot;_);[Blue]&quot;Error-&quot;@"/>
    <numFmt numFmtId="177" formatCode="dd\ mmm\ yyyy_)"/>
    <numFmt numFmtId="178" formatCode="dd/mm/yy_)"/>
    <numFmt numFmtId="179" formatCode="0%_);[Red]\-0%_);0%_);[Blue]&quot;Error-&quot;@"/>
    <numFmt numFmtId="180" formatCode="0.0%_);[Red]\-0.0%_);0.0%_);[Blue]&quot;Error-&quot;@"/>
    <numFmt numFmtId="181" formatCode="0.00%_);[Red]\-0.00%_);0.00%_);[Blue]&quot;Error-&quot;@"/>
    <numFmt numFmtId="182" formatCode="&quot;to &quot;0.0000;&quot;to &quot;\-0.0000;&quot;to 0&quot;"/>
    <numFmt numFmtId="183" formatCode="&quot;$&quot;#,##0_);[Red]\(&quot;$&quot;#,##0\)"/>
    <numFmt numFmtId="184" formatCode="000"/>
    <numFmt numFmtId="185" formatCode="_(* #,##0_);_(* \(#,##0\);_(* &quot;&quot;\ \-\ &quot;&quot;_);_(@_)"/>
    <numFmt numFmtId="186" formatCode="_-* #,##0.00\ &quot;€&quot;_-;\-* #,##0.00\ &quot;€&quot;_-;_-* &quot;-&quot;??\ &quot;€&quot;_-;_-@_-"/>
    <numFmt numFmtId="187" formatCode="#,##0;\-#,##0;\-"/>
    <numFmt numFmtId="188" formatCode="#,##0.0_);\(#,##0.0\)"/>
    <numFmt numFmtId="189" formatCode="#,##0.0,,_);\(#,##0.0,,\);\-_)"/>
    <numFmt numFmtId="190" formatCode="#,##0_);\(#,##0\);\-_)"/>
    <numFmt numFmtId="191" formatCode="#,##0.0,_);\(#,##0.0,\);\-_)"/>
    <numFmt numFmtId="192" formatCode="#,##0.00_);\(#,##0.00\);\-_)"/>
    <numFmt numFmtId="193" formatCode="[&lt;0.0001]&quot;&lt;0.0001&quot;;0.0000"/>
    <numFmt numFmtId="194" formatCode="#,##0.0,,;\-#,##0.0,,;\-"/>
    <numFmt numFmtId="195" formatCode="#,##0,;\-#,##0,;\-"/>
    <numFmt numFmtId="196" formatCode="0.0%;\-0.0%;\-"/>
    <numFmt numFmtId="197" formatCode="#,##0.0,,;\-#,##0.0,,"/>
    <numFmt numFmtId="198" formatCode="#,##0,;\-#,##0,"/>
    <numFmt numFmtId="199" formatCode="0.0%;\-0.0%"/>
    <numFmt numFmtId="200" formatCode="&quot;£&quot;#,##0.00"/>
    <numFmt numFmtId="201" formatCode="####_)"/>
    <numFmt numFmtId="202" formatCode="&quot;£&quot;#,##0\ \m"/>
    <numFmt numFmtId="203" formatCode="_-[$€-2]* #,##0.00_-;\-[$€-2]* #,##0.00_-;_-[$€-2]* &quot;-&quot;??_-"/>
    <numFmt numFmtId="204" formatCode="&quot;£&quot;#,##0.0\ \m"/>
    <numFmt numFmtId="205" formatCode="&quot;£&quot;#,##0"/>
  </numFmts>
  <fonts count="97">
    <font>
      <sz val="11"/>
      <color theme="1"/>
      <name val="Calibri"/>
      <family val="2"/>
      <scheme val="minor"/>
    </font>
    <font>
      <sz val="10"/>
      <color theme="1"/>
      <name val="Calibri"/>
      <family val="2"/>
      <scheme val="minor"/>
    </font>
    <font>
      <sz val="10"/>
      <color theme="1"/>
      <name val="Calibri"/>
      <family val="2"/>
      <scheme val="minor"/>
    </font>
    <font>
      <sz val="11"/>
      <color indexed="8"/>
      <name val="Calibri"/>
      <family val="2"/>
    </font>
    <font>
      <b/>
      <sz val="11"/>
      <color indexed="9"/>
      <name val="Calibri"/>
      <family val="2"/>
    </font>
    <font>
      <sz val="10"/>
      <name val="Arial"/>
      <family val="2"/>
    </font>
    <font>
      <u/>
      <sz val="6.6"/>
      <color indexed="12"/>
      <name val="Calibri"/>
      <family val="2"/>
    </font>
    <font>
      <sz val="8"/>
      <color indexed="12"/>
      <name val="Arial"/>
      <family val="2"/>
    </font>
    <font>
      <sz val="9"/>
      <color indexed="8"/>
      <name val="Arial"/>
      <family val="2"/>
    </font>
    <font>
      <sz val="11"/>
      <color indexed="8"/>
      <name val="Calibri"/>
      <family val="2"/>
    </font>
    <font>
      <sz val="11"/>
      <color indexed="63"/>
      <name val="Calibri"/>
      <family val="2"/>
    </font>
    <font>
      <sz val="11"/>
      <color indexed="9"/>
      <name val="Calibri"/>
      <family val="2"/>
    </font>
    <font>
      <sz val="9"/>
      <name val="Arial"/>
      <family val="2"/>
    </font>
    <font>
      <sz val="11"/>
      <color indexed="20"/>
      <name val="Calibri"/>
      <family val="2"/>
    </font>
    <font>
      <b/>
      <sz val="11"/>
      <color indexed="29"/>
      <name val="Calibri"/>
      <family val="2"/>
    </font>
    <font>
      <b/>
      <sz val="9"/>
      <color indexed="52"/>
      <name val="Arial"/>
      <family val="2"/>
    </font>
    <font>
      <b/>
      <sz val="11"/>
      <color indexed="52"/>
      <name val="Calibri"/>
      <family val="2"/>
    </font>
    <font>
      <b/>
      <sz val="11"/>
      <color indexed="9"/>
      <name val="Calibri"/>
      <family val="2"/>
    </font>
    <font>
      <sz val="10"/>
      <name val="MS Sans Serif"/>
      <family val="2"/>
    </font>
    <font>
      <b/>
      <sz val="9"/>
      <color indexed="9"/>
      <name val="Arial"/>
      <family val="2"/>
    </font>
    <font>
      <sz val="10"/>
      <color indexed="62"/>
      <name val="Book Antiqua"/>
      <family val="1"/>
    </font>
    <font>
      <sz val="10"/>
      <color indexed="8"/>
      <name val="Arial"/>
      <family val="2"/>
    </font>
    <font>
      <sz val="8"/>
      <name val="Arial"/>
      <family val="2"/>
    </font>
    <font>
      <sz val="10"/>
      <color indexed="18"/>
      <name val="Arial"/>
      <family val="2"/>
    </font>
    <font>
      <b/>
      <u val="double"/>
      <sz val="9"/>
      <name val="Arial"/>
      <family val="2"/>
    </font>
    <font>
      <i/>
      <sz val="11"/>
      <color indexed="23"/>
      <name val="Calibri"/>
      <family val="2"/>
    </font>
    <font>
      <sz val="8"/>
      <name val="Times New Roman"/>
      <family val="1"/>
    </font>
    <font>
      <i/>
      <sz val="8"/>
      <name val="Times New Roman"/>
      <family val="1"/>
    </font>
    <font>
      <sz val="11"/>
      <color indexed="17"/>
      <name val="Calibri"/>
      <family val="2"/>
    </font>
    <font>
      <b/>
      <sz val="9"/>
      <color indexed="18"/>
      <name val="Arial"/>
      <family val="2"/>
    </font>
    <font>
      <b/>
      <sz val="9"/>
      <color indexed="8"/>
      <name val="Arial"/>
      <family val="2"/>
    </font>
    <font>
      <sz val="12"/>
      <color indexed="9"/>
      <name val="Arial"/>
      <family val="2"/>
    </font>
    <font>
      <sz val="11"/>
      <color indexed="8"/>
      <name val="Arial"/>
      <family val="2"/>
    </font>
    <font>
      <b/>
      <sz val="9"/>
      <name val="Arial"/>
      <family val="2"/>
    </font>
    <font>
      <b/>
      <sz val="11"/>
      <color indexed="62"/>
      <name val="Calibri"/>
      <family val="2"/>
    </font>
    <font>
      <b/>
      <sz val="11"/>
      <color indexed="48"/>
      <name val="Calibri"/>
      <family val="2"/>
    </font>
    <font>
      <b/>
      <i/>
      <sz val="10"/>
      <name val="Arial"/>
      <family val="2"/>
    </font>
    <font>
      <i/>
      <sz val="10"/>
      <name val="Arial"/>
      <family val="2"/>
    </font>
    <font>
      <sz val="7"/>
      <name val="Arial"/>
      <family val="2"/>
    </font>
    <font>
      <sz val="11"/>
      <color indexed="48"/>
      <name val="Calibri"/>
      <family val="2"/>
    </font>
    <font>
      <sz val="9"/>
      <name val="Arial MT"/>
    </font>
    <font>
      <i/>
      <sz val="8"/>
      <color indexed="18"/>
      <name val="Arial"/>
      <family val="2"/>
    </font>
    <font>
      <sz val="9"/>
      <color indexed="20"/>
      <name val="Arial MT"/>
    </font>
    <font>
      <sz val="11"/>
      <color indexed="29"/>
      <name val="Calibri"/>
      <family val="2"/>
    </font>
    <font>
      <sz val="11"/>
      <color indexed="52"/>
      <name val="Calibri"/>
      <family val="2"/>
    </font>
    <font>
      <b/>
      <u val="singleAccounting"/>
      <sz val="9"/>
      <color indexed="9"/>
      <name val="Arial"/>
      <family val="2"/>
    </font>
    <font>
      <sz val="11"/>
      <color indexed="60"/>
      <name val="Calibri"/>
      <family val="2"/>
    </font>
    <font>
      <sz val="11"/>
      <color indexed="10"/>
      <name val="Calibri"/>
      <family val="2"/>
    </font>
    <font>
      <sz val="7"/>
      <color indexed="8"/>
      <name val="Arial"/>
      <family val="2"/>
    </font>
    <font>
      <b/>
      <sz val="11"/>
      <color indexed="63"/>
      <name val="Calibri"/>
      <family val="2"/>
    </font>
    <font>
      <sz val="10"/>
      <color indexed="62"/>
      <name val="Arial"/>
      <family val="2"/>
    </font>
    <font>
      <u/>
      <sz val="9"/>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b/>
      <sz val="8"/>
      <color indexed="10"/>
      <name val="Arial"/>
      <family val="2"/>
    </font>
    <font>
      <b/>
      <sz val="10"/>
      <color indexed="8"/>
      <name val="Arial"/>
      <family val="2"/>
    </font>
    <font>
      <b/>
      <sz val="18"/>
      <color indexed="48"/>
      <name val="Cambria"/>
      <family val="2"/>
    </font>
    <font>
      <b/>
      <sz val="12"/>
      <color indexed="9"/>
      <name val="Arial"/>
      <family val="2"/>
    </font>
    <font>
      <b/>
      <sz val="11"/>
      <color indexed="8"/>
      <name val="Calibri"/>
      <family val="2"/>
    </font>
    <font>
      <u/>
      <sz val="10"/>
      <color indexed="12"/>
      <name val="Arial"/>
      <family val="2"/>
    </font>
    <font>
      <sz val="11"/>
      <color theme="1"/>
      <name val="Calibri"/>
      <family val="2"/>
      <scheme val="minor"/>
    </font>
    <font>
      <b/>
      <sz val="11"/>
      <color theme="0"/>
      <name val="Calibri"/>
      <family val="2"/>
      <scheme val="minor"/>
    </font>
    <font>
      <u/>
      <sz val="11"/>
      <color theme="10"/>
      <name val="Calibri"/>
      <family val="2"/>
    </font>
    <font>
      <sz val="14"/>
      <color theme="1"/>
      <name val="Calibri"/>
      <family val="2"/>
      <scheme val="minor"/>
    </font>
    <font>
      <u/>
      <sz val="7.7"/>
      <color indexed="12"/>
      <name val="Calibri"/>
      <family val="2"/>
    </font>
    <font>
      <sz val="11"/>
      <color theme="1"/>
      <name val="Calibri"/>
      <family val="2"/>
    </font>
    <font>
      <sz val="10"/>
      <name val="Arial"/>
      <family val="2"/>
    </font>
    <font>
      <sz val="11"/>
      <name val="Calibri"/>
      <family val="2"/>
      <scheme val="minor"/>
    </font>
    <font>
      <sz val="11"/>
      <color theme="1"/>
      <name val="Calibri"/>
      <family val="2"/>
    </font>
    <font>
      <b/>
      <sz val="11"/>
      <name val="Calibri"/>
      <family val="2"/>
      <scheme val="minor"/>
    </font>
    <font>
      <sz val="10"/>
      <name val="Arial"/>
      <family val="2"/>
    </font>
    <font>
      <sz val="10"/>
      <name val="Arial"/>
      <family val="2"/>
    </font>
    <font>
      <b/>
      <sz val="11"/>
      <color theme="1"/>
      <name val="Calibri"/>
      <family val="2"/>
      <scheme val="minor"/>
    </font>
    <font>
      <sz val="12"/>
      <name val="Arial"/>
      <family val="2"/>
    </font>
    <font>
      <u/>
      <sz val="10"/>
      <color theme="10"/>
      <name val="Calibri"/>
      <family val="2"/>
    </font>
    <font>
      <sz val="12"/>
      <name val="Arial"/>
      <family val="2"/>
    </font>
    <font>
      <u/>
      <sz val="11"/>
      <name val="Calibri"/>
      <family val="2"/>
      <scheme val="minor"/>
    </font>
    <font>
      <sz val="10"/>
      <name val="Calibri"/>
      <family val="2"/>
      <scheme val="minor"/>
    </font>
    <font>
      <sz val="10"/>
      <color theme="5" tint="-0.249977111117893"/>
      <name val="Calibri"/>
      <family val="2"/>
      <scheme val="minor"/>
    </font>
    <font>
      <b/>
      <sz val="10"/>
      <name val="Calibri"/>
      <family val="2"/>
      <scheme val="minor"/>
    </font>
    <font>
      <vertAlign val="superscript"/>
      <sz val="10"/>
      <name val="Calibri"/>
      <family val="2"/>
      <scheme val="minor"/>
    </font>
    <font>
      <u/>
      <sz val="10"/>
      <color indexed="12"/>
      <name val="Calibri"/>
      <family val="2"/>
      <scheme val="minor"/>
    </font>
    <font>
      <sz val="10"/>
      <color indexed="8"/>
      <name val="Calibri"/>
      <family val="2"/>
      <scheme val="minor"/>
    </font>
    <font>
      <b/>
      <sz val="20"/>
      <color theme="1"/>
      <name val="Calibri"/>
      <family val="2"/>
      <scheme val="minor"/>
    </font>
    <font>
      <sz val="11"/>
      <color rgb="FF000000"/>
      <name val="Calibri"/>
      <family val="2"/>
      <scheme val="minor"/>
    </font>
    <font>
      <b/>
      <sz val="11"/>
      <color rgb="FF000000"/>
      <name val="Calibri"/>
      <family val="2"/>
      <scheme val="minor"/>
    </font>
    <font>
      <b/>
      <sz val="18"/>
      <color rgb="FFFF0000"/>
      <name val="Calibri"/>
      <family val="2"/>
      <scheme val="minor"/>
    </font>
    <font>
      <i/>
      <sz val="14"/>
      <name val="Calibri"/>
      <family val="2"/>
    </font>
    <font>
      <sz val="14"/>
      <name val="Calibri"/>
      <family val="2"/>
    </font>
    <font>
      <b/>
      <sz val="14"/>
      <color rgb="FFFF0000"/>
      <name val="Calibri"/>
      <family val="2"/>
      <scheme val="minor"/>
    </font>
    <font>
      <u/>
      <sz val="10"/>
      <name val="Calibri"/>
      <family val="2"/>
    </font>
    <font>
      <u/>
      <sz val="10"/>
      <name val="Calibri"/>
      <family val="2"/>
      <scheme val="minor"/>
    </font>
  </fonts>
  <fills count="54">
    <fill>
      <patternFill patternType="none"/>
    </fill>
    <fill>
      <patternFill patternType="gray125"/>
    </fill>
    <fill>
      <patternFill patternType="solid">
        <fgColor indexed="9"/>
      </patternFill>
    </fill>
    <fill>
      <patternFill patternType="solid">
        <fgColor indexed="26"/>
      </patternFill>
    </fill>
    <fill>
      <patternFill patternType="solid">
        <fgColor indexed="45"/>
      </patternFill>
    </fill>
    <fill>
      <patternFill patternType="solid">
        <fgColor indexed="22"/>
      </patternFill>
    </fill>
    <fill>
      <patternFill patternType="solid">
        <fgColor indexed="53"/>
      </patternFill>
    </fill>
    <fill>
      <patternFill patternType="solid">
        <fgColor indexed="42"/>
      </patternFill>
    </fill>
    <fill>
      <patternFill patternType="solid">
        <fgColor indexed="23"/>
      </patternFill>
    </fill>
    <fill>
      <patternFill patternType="solid">
        <fgColor indexed="27"/>
      </patternFill>
    </fill>
    <fill>
      <patternFill patternType="solid">
        <fgColor indexed="41"/>
      </patternFill>
    </fill>
    <fill>
      <patternFill patternType="solid">
        <fgColor indexed="15"/>
      </patternFill>
    </fill>
    <fill>
      <patternFill patternType="solid">
        <fgColor indexed="47"/>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30"/>
      </patternFill>
    </fill>
    <fill>
      <patternFill patternType="solid">
        <fgColor indexed="32"/>
      </patternFill>
    </fill>
    <fill>
      <patternFill patternType="solid">
        <fgColor indexed="36"/>
      </patternFill>
    </fill>
    <fill>
      <patternFill patternType="solid">
        <fgColor indexed="55"/>
      </patternFill>
    </fill>
    <fill>
      <patternFill patternType="solid">
        <fgColor indexed="49"/>
      </patternFill>
    </fill>
    <fill>
      <patternFill patternType="solid">
        <fgColor indexed="48"/>
      </patternFill>
    </fill>
    <fill>
      <patternFill patternType="solid">
        <fgColor indexed="35"/>
      </patternFill>
    </fill>
    <fill>
      <patternFill patternType="solid">
        <fgColor indexed="54"/>
      </patternFill>
    </fill>
    <fill>
      <patternFill patternType="solid">
        <fgColor indexed="28"/>
      </patternFill>
    </fill>
    <fill>
      <patternFill patternType="solid">
        <fgColor indexed="37"/>
      </patternFill>
    </fill>
    <fill>
      <patternFill patternType="solid">
        <fgColor indexed="18"/>
        <bgColor indexed="64"/>
      </patternFill>
    </fill>
    <fill>
      <patternFill patternType="solid">
        <fgColor indexed="43"/>
        <bgColor indexed="64"/>
      </patternFill>
    </fill>
    <fill>
      <patternFill patternType="solid">
        <fgColor indexed="42"/>
        <bgColor indexed="64"/>
      </patternFill>
    </fill>
    <fill>
      <patternFill patternType="solid">
        <fgColor indexed="14"/>
        <bgColor indexed="64"/>
      </patternFill>
    </fill>
    <fill>
      <patternFill patternType="solid">
        <fgColor indexed="23"/>
        <bgColor indexed="64"/>
      </patternFill>
    </fill>
    <fill>
      <patternFill patternType="solid">
        <fgColor indexed="40"/>
      </patternFill>
    </fill>
    <fill>
      <patternFill patternType="solid">
        <fgColor indexed="17"/>
        <bgColor indexed="64"/>
      </patternFill>
    </fill>
    <fill>
      <patternFill patternType="solid">
        <fgColor indexed="56"/>
      </patternFill>
    </fill>
    <fill>
      <patternFill patternType="solid">
        <fgColor indexed="22"/>
        <bgColor indexed="64"/>
      </patternFill>
    </fill>
    <fill>
      <patternFill patternType="solid">
        <fgColor indexed="8"/>
      </patternFill>
    </fill>
    <fill>
      <patternFill patternType="solid">
        <fgColor indexed="9"/>
        <bgColor indexed="64"/>
      </patternFill>
    </fill>
    <fill>
      <patternFill patternType="solid">
        <fgColor indexed="24"/>
        <bgColor indexed="64"/>
      </patternFill>
    </fill>
    <fill>
      <patternFill patternType="solid">
        <fgColor indexed="13"/>
        <bgColor indexed="64"/>
      </patternFill>
    </fill>
    <fill>
      <patternFill patternType="solid">
        <fgColor indexed="11"/>
        <bgColor indexed="64"/>
      </patternFill>
    </fill>
    <fill>
      <patternFill patternType="solid">
        <fgColor rgb="FFA5A5A5"/>
      </patternFill>
    </fill>
    <fill>
      <patternFill patternType="solid">
        <fgColor theme="4"/>
        <bgColor theme="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1"/>
        <bgColor indexed="64"/>
      </patternFill>
    </fill>
    <fill>
      <patternFill patternType="solid">
        <fgColor rgb="FFFFC000"/>
        <bgColor indexed="64"/>
      </patternFill>
    </fill>
    <fill>
      <patternFill patternType="solid">
        <fgColor rgb="FFFFC000"/>
        <bgColor theme="4"/>
      </patternFill>
    </fill>
    <fill>
      <patternFill patternType="solid">
        <fgColor rgb="FF92D050"/>
        <bgColor indexed="64"/>
      </patternFill>
    </fill>
    <fill>
      <patternFill patternType="solid">
        <fgColor rgb="FF92D050"/>
        <bgColor theme="4"/>
      </patternFill>
    </fill>
    <fill>
      <patternFill patternType="solid">
        <fgColor theme="2" tint="-0.249977111117893"/>
        <bgColor indexed="64"/>
      </patternFill>
    </fill>
  </fills>
  <borders count="25">
    <border>
      <left/>
      <right/>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medium">
        <color indexed="8"/>
      </right>
      <top/>
      <bottom/>
      <diagonal/>
    </border>
    <border>
      <left/>
      <right/>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right/>
      <top/>
      <bottom style="double">
        <color indexed="29"/>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12"/>
      </top>
      <bottom style="thin">
        <color indexed="12"/>
      </bottom>
      <diagonal/>
    </border>
    <border>
      <left/>
      <right/>
      <top/>
      <bottom style="thin">
        <color indexed="12"/>
      </bottom>
      <diagonal/>
    </border>
    <border>
      <left style="thick">
        <color indexed="9"/>
      </left>
      <right style="medium">
        <color indexed="8"/>
      </right>
      <top style="thick">
        <color indexed="9"/>
      </top>
      <bottom/>
      <diagonal/>
    </border>
    <border>
      <left style="thick">
        <color indexed="9"/>
      </left>
      <right style="medium">
        <color indexed="8"/>
      </right>
      <top/>
      <bottom/>
      <diagonal/>
    </border>
    <border>
      <left style="thick">
        <color indexed="9"/>
      </left>
      <right style="medium">
        <color indexed="8"/>
      </right>
      <top style="hair">
        <color indexed="9"/>
      </top>
      <bottom style="hair">
        <color indexed="9"/>
      </bottom>
      <diagonal/>
    </border>
    <border>
      <left/>
      <right/>
      <top style="thin">
        <color indexed="32"/>
      </top>
      <bottom style="double">
        <color indexed="32"/>
      </bottom>
      <diagonal/>
    </border>
    <border>
      <left/>
      <right/>
      <top style="thin">
        <color indexed="48"/>
      </top>
      <bottom style="double">
        <color indexed="48"/>
      </bottom>
      <diagonal/>
    </border>
    <border>
      <left style="double">
        <color rgb="FF3F3F3F"/>
      </left>
      <right style="double">
        <color rgb="FF3F3F3F"/>
      </right>
      <top style="double">
        <color rgb="FF3F3F3F"/>
      </top>
      <bottom style="double">
        <color rgb="FF3F3F3F"/>
      </bottom>
      <diagonal/>
    </border>
    <border>
      <left/>
      <right/>
      <top/>
      <bottom style="thin">
        <color theme="5"/>
      </bottom>
      <diagonal/>
    </border>
  </borders>
  <cellStyleXfs count="1259">
    <xf numFmtId="0" fontId="0" fillId="0" borderId="0"/>
    <xf numFmtId="9" fontId="7" fillId="0" borderId="0">
      <alignment horizontal="right"/>
    </xf>
    <xf numFmtId="0" fontId="5" fillId="0" borderId="0"/>
    <xf numFmtId="0" fontId="5" fillId="0" borderId="0"/>
    <xf numFmtId="0" fontId="5" fillId="0" borderId="0"/>
    <xf numFmtId="168" fontId="8" fillId="0" borderId="0">
      <alignment horizontal="right" vertical="top"/>
    </xf>
    <xf numFmtId="167" fontId="5" fillId="0" borderId="0" applyFont="0" applyFill="0" applyBorder="0" applyProtection="0">
      <alignment horizontal="right"/>
    </xf>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169" fontId="5" fillId="0" borderId="0" applyFont="0" applyFill="0" applyBorder="0" applyProtection="0">
      <alignment horizontal="right"/>
    </xf>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170" fontId="5" fillId="0" borderId="0" applyFont="0" applyFill="0" applyBorder="0" applyProtection="0">
      <alignment horizontal="right"/>
    </xf>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2" fillId="0" borderId="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2" fillId="0" borderId="0"/>
    <xf numFmtId="1" fontId="5" fillId="27" borderId="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171" fontId="12" fillId="0" borderId="0"/>
    <xf numFmtId="172" fontId="12" fillId="0" borderId="0"/>
    <xf numFmtId="173" fontId="12" fillId="0" borderId="0"/>
    <xf numFmtId="171" fontId="12" fillId="0" borderId="1"/>
    <xf numFmtId="172" fontId="12" fillId="0" borderId="1"/>
    <xf numFmtId="173" fontId="12" fillId="0" borderId="1"/>
    <xf numFmtId="171" fontId="12" fillId="0" borderId="1"/>
    <xf numFmtId="174" fontId="12" fillId="0" borderId="0"/>
    <xf numFmtId="175" fontId="12" fillId="0" borderId="0"/>
    <xf numFmtId="176" fontId="12" fillId="0" borderId="0"/>
    <xf numFmtId="174" fontId="12" fillId="0" borderId="1"/>
    <xf numFmtId="175" fontId="12" fillId="0" borderId="1"/>
    <xf numFmtId="176" fontId="12" fillId="0" borderId="1"/>
    <xf numFmtId="174" fontId="12" fillId="0" borderId="1"/>
    <xf numFmtId="177" fontId="12" fillId="0" borderId="0">
      <alignment horizontal="right"/>
      <protection locked="0"/>
    </xf>
    <xf numFmtId="178" fontId="12" fillId="0" borderId="0">
      <alignment horizontal="right"/>
      <protection locked="0"/>
    </xf>
    <xf numFmtId="179" fontId="12" fillId="0" borderId="0"/>
    <xf numFmtId="180" fontId="12" fillId="0" borderId="0"/>
    <xf numFmtId="181" fontId="12" fillId="0" borderId="0"/>
    <xf numFmtId="179" fontId="12" fillId="0" borderId="1"/>
    <xf numFmtId="180" fontId="12" fillId="0" borderId="1"/>
    <xf numFmtId="181" fontId="12" fillId="0" borderId="1"/>
    <xf numFmtId="179" fontId="12" fillId="0" borderId="1"/>
    <xf numFmtId="0" fontId="14" fillId="2" borderId="2" applyNumberFormat="0" applyAlignment="0" applyProtection="0"/>
    <xf numFmtId="0" fontId="14" fillId="2" borderId="2" applyNumberFormat="0" applyAlignment="0" applyProtection="0"/>
    <xf numFmtId="0" fontId="15" fillId="5" borderId="2" applyNumberFormat="0" applyAlignment="0" applyProtection="0"/>
    <xf numFmtId="0" fontId="14" fillId="2" borderId="2" applyNumberFormat="0" applyAlignment="0" applyProtection="0"/>
    <xf numFmtId="0" fontId="16" fillId="8" borderId="2" applyNumberFormat="0" applyAlignment="0" applyProtection="0"/>
    <xf numFmtId="0" fontId="16" fillId="8" borderId="2" applyNumberFormat="0" applyAlignment="0" applyProtection="0"/>
    <xf numFmtId="0" fontId="16" fillId="8" borderId="2" applyNumberFormat="0" applyAlignment="0" applyProtection="0"/>
    <xf numFmtId="0" fontId="16" fillId="8" borderId="2" applyNumberFormat="0" applyAlignment="0" applyProtection="0"/>
    <xf numFmtId="0" fontId="16" fillId="8" borderId="2" applyNumberFormat="0" applyAlignment="0" applyProtection="0"/>
    <xf numFmtId="0" fontId="16" fillId="8" borderId="2" applyNumberFormat="0" applyAlignment="0" applyProtection="0"/>
    <xf numFmtId="0" fontId="16" fillId="8" borderId="2" applyNumberFormat="0" applyAlignment="0" applyProtection="0"/>
    <xf numFmtId="0" fontId="16" fillId="8" borderId="2" applyNumberFormat="0" applyAlignment="0" applyProtection="0"/>
    <xf numFmtId="0" fontId="16" fillId="8" borderId="2" applyNumberFormat="0" applyAlignment="0" applyProtection="0"/>
    <xf numFmtId="0" fontId="16" fillId="8"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4" fillId="2" borderId="2" applyNumberFormat="0" applyAlignment="0" applyProtection="0"/>
    <xf numFmtId="0" fontId="17" fillId="20" borderId="3" applyNumberFormat="0" applyAlignment="0" applyProtection="0"/>
    <xf numFmtId="0" fontId="17" fillId="20" borderId="3" applyNumberFormat="0" applyAlignment="0" applyProtection="0"/>
    <xf numFmtId="0" fontId="17" fillId="20" borderId="3" applyNumberFormat="0" applyAlignment="0" applyProtection="0"/>
    <xf numFmtId="0" fontId="17" fillId="8" borderId="3" applyNumberFormat="0" applyAlignment="0" applyProtection="0"/>
    <xf numFmtId="0" fontId="17" fillId="8" borderId="3" applyNumberFormat="0" applyAlignment="0" applyProtection="0"/>
    <xf numFmtId="0" fontId="17" fillId="8" borderId="3" applyNumberFormat="0" applyAlignment="0" applyProtection="0"/>
    <xf numFmtId="0" fontId="17" fillId="8" borderId="3" applyNumberFormat="0" applyAlignment="0" applyProtection="0"/>
    <xf numFmtId="0" fontId="17" fillId="8" borderId="3" applyNumberFormat="0" applyAlignment="0" applyProtection="0"/>
    <xf numFmtId="0" fontId="17" fillId="8" borderId="3" applyNumberFormat="0" applyAlignment="0" applyProtection="0"/>
    <xf numFmtId="0" fontId="17" fillId="8" borderId="3" applyNumberFormat="0" applyAlignment="0" applyProtection="0"/>
    <xf numFmtId="0" fontId="17" fillId="8" borderId="3" applyNumberFormat="0" applyAlignment="0" applyProtection="0"/>
    <xf numFmtId="0" fontId="17" fillId="8" borderId="3" applyNumberFormat="0" applyAlignment="0" applyProtection="0"/>
    <xf numFmtId="0" fontId="17" fillId="8" borderId="3" applyNumberFormat="0" applyAlignment="0" applyProtection="0"/>
    <xf numFmtId="0" fontId="17" fillId="20" borderId="3" applyNumberFormat="0" applyAlignment="0" applyProtection="0"/>
    <xf numFmtId="0" fontId="17" fillId="20" borderId="3" applyNumberFormat="0" applyAlignment="0" applyProtection="0"/>
    <xf numFmtId="0" fontId="17" fillId="20" borderId="3" applyNumberFormat="0" applyAlignment="0" applyProtection="0"/>
    <xf numFmtId="0" fontId="17" fillId="20" borderId="3" applyNumberFormat="0" applyAlignment="0" applyProtection="0"/>
    <xf numFmtId="0" fontId="17" fillId="20" borderId="3" applyNumberFormat="0" applyAlignment="0" applyProtection="0"/>
    <xf numFmtId="0" fontId="17" fillId="20" borderId="3" applyNumberFormat="0" applyAlignment="0" applyProtection="0"/>
    <xf numFmtId="0" fontId="17" fillId="20" borderId="3" applyNumberFormat="0" applyAlignment="0" applyProtection="0"/>
    <xf numFmtId="170" fontId="12" fillId="0" borderId="0" applyFont="0" applyFill="0" applyBorder="0" applyProtection="0">
      <alignment horizontal="right"/>
    </xf>
    <xf numFmtId="182" fontId="12" fillId="0" borderId="0" applyFont="0" applyFill="0" applyBorder="0" applyProtection="0">
      <alignment horizontal="left"/>
    </xf>
    <xf numFmtId="43" fontId="5" fillId="0" borderId="0" applyFont="0" applyFill="0" applyBorder="0" applyAlignment="0" applyProtection="0"/>
    <xf numFmtId="183" fontId="18" fillId="0" borderId="0" applyFont="0" applyFill="0" applyBorder="0" applyAlignment="0" applyProtection="0"/>
    <xf numFmtId="49" fontId="19" fillId="22" borderId="0">
      <alignment vertical="center"/>
    </xf>
    <xf numFmtId="171" fontId="12" fillId="28" borderId="4">
      <protection locked="0"/>
    </xf>
    <xf numFmtId="172" fontId="12" fillId="28" borderId="4">
      <protection locked="0"/>
    </xf>
    <xf numFmtId="173" fontId="12" fillId="28" borderId="4">
      <protection locked="0"/>
    </xf>
    <xf numFmtId="171" fontId="12" fillId="28" borderId="5">
      <protection locked="0"/>
    </xf>
    <xf numFmtId="174" fontId="12" fillId="28" borderId="4">
      <protection locked="0"/>
    </xf>
    <xf numFmtId="175" fontId="12" fillId="28" borderId="4">
      <protection locked="0"/>
    </xf>
    <xf numFmtId="176" fontId="12" fillId="28" borderId="4">
      <protection locked="0"/>
    </xf>
    <xf numFmtId="174" fontId="12" fillId="28" borderId="5">
      <protection locked="0"/>
    </xf>
    <xf numFmtId="177" fontId="12" fillId="28" borderId="4">
      <alignment horizontal="right"/>
      <protection locked="0"/>
    </xf>
    <xf numFmtId="178" fontId="12" fillId="28" borderId="4">
      <alignment horizontal="right"/>
      <protection locked="0"/>
    </xf>
    <xf numFmtId="0" fontId="12" fillId="28" borderId="4">
      <alignment horizontal="left"/>
      <protection locked="0"/>
    </xf>
    <xf numFmtId="49" fontId="12" fillId="29" borderId="5">
      <alignment horizontal="left" vertical="top" wrapText="1"/>
      <protection locked="0"/>
    </xf>
    <xf numFmtId="179" fontId="12" fillId="28" borderId="4">
      <protection locked="0"/>
    </xf>
    <xf numFmtId="180" fontId="12" fillId="28" borderId="4">
      <protection locked="0"/>
    </xf>
    <xf numFmtId="181" fontId="12" fillId="28" borderId="4">
      <protection locked="0"/>
    </xf>
    <xf numFmtId="179" fontId="12" fillId="28" borderId="5">
      <protection locked="0"/>
    </xf>
    <xf numFmtId="49" fontId="12" fillId="28" borderId="4">
      <alignment horizontal="left"/>
      <protection locked="0"/>
    </xf>
    <xf numFmtId="184" fontId="12" fillId="28" borderId="5">
      <alignment horizontal="left" indent="1"/>
      <protection locked="0"/>
    </xf>
    <xf numFmtId="2" fontId="20" fillId="28" borderId="6">
      <protection locked="0"/>
    </xf>
    <xf numFmtId="16" fontId="21" fillId="0" borderId="0" applyFont="0" applyFill="0" applyBorder="0" applyAlignment="0" applyProtection="0"/>
    <xf numFmtId="15" fontId="21" fillId="0" borderId="0" applyFont="0" applyFill="0" applyBorder="0" applyAlignment="0" applyProtection="0"/>
    <xf numFmtId="17" fontId="21" fillId="0" borderId="0" applyFont="0" applyFill="0" applyBorder="0" applyAlignment="0" applyProtection="0"/>
    <xf numFmtId="185" fontId="22" fillId="8" borderId="0">
      <alignment horizontal="right"/>
    </xf>
    <xf numFmtId="15" fontId="23" fillId="30" borderId="0" applyNumberFormat="0" applyFont="0" applyBorder="0" applyAlignment="0" applyProtection="0"/>
    <xf numFmtId="168" fontId="24" fillId="31" borderId="0">
      <alignment horizontal="right"/>
    </xf>
    <xf numFmtId="186" fontId="5"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0">
      <alignment horizontal="left"/>
    </xf>
    <xf numFmtId="0" fontId="27" fillId="0" borderId="0">
      <alignment horizontal="left"/>
    </xf>
    <xf numFmtId="0" fontId="19" fillId="32" borderId="0">
      <alignment horizontal="right" vertical="center"/>
    </xf>
    <xf numFmtId="0" fontId="5" fillId="0" borderId="0" applyFont="0" applyFill="0" applyBorder="0" applyProtection="0">
      <alignment horizontal="right"/>
    </xf>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9" fillId="33" borderId="7" applyProtection="0">
      <alignment horizontal="right"/>
    </xf>
    <xf numFmtId="0" fontId="30" fillId="33" borderId="0" applyProtection="0">
      <alignment horizontal="left"/>
    </xf>
    <xf numFmtId="0" fontId="31" fillId="34" borderId="0">
      <alignment vertical="center"/>
    </xf>
    <xf numFmtId="0" fontId="31" fillId="34" borderId="0">
      <alignment vertical="center"/>
    </xf>
    <xf numFmtId="0" fontId="31" fillId="34" borderId="0">
      <alignment vertical="center"/>
    </xf>
    <xf numFmtId="0" fontId="31" fillId="34" borderId="0">
      <alignment vertical="center"/>
    </xf>
    <xf numFmtId="0" fontId="31" fillId="34" borderId="0">
      <alignment vertical="center"/>
    </xf>
    <xf numFmtId="0" fontId="31" fillId="34" borderId="0">
      <alignment vertical="center"/>
    </xf>
    <xf numFmtId="0" fontId="31" fillId="34" borderId="0">
      <alignment vertical="center"/>
    </xf>
    <xf numFmtId="0" fontId="31" fillId="34" borderId="0">
      <alignment vertical="center"/>
    </xf>
    <xf numFmtId="0" fontId="31" fillId="34" borderId="0">
      <alignment vertical="center"/>
    </xf>
    <xf numFmtId="0" fontId="31" fillId="34" borderId="0">
      <alignment vertical="center"/>
    </xf>
    <xf numFmtId="0" fontId="32" fillId="35" borderId="0">
      <alignment vertical="center"/>
    </xf>
    <xf numFmtId="0" fontId="32" fillId="35" borderId="0">
      <alignment vertical="center"/>
    </xf>
    <xf numFmtId="0" fontId="32" fillId="35" borderId="0">
      <alignment vertical="center"/>
    </xf>
    <xf numFmtId="0" fontId="32" fillId="35" borderId="0">
      <alignment vertical="center"/>
    </xf>
    <xf numFmtId="0" fontId="32" fillId="35" borderId="0">
      <alignment vertical="center"/>
    </xf>
    <xf numFmtId="0" fontId="32" fillId="35" borderId="0">
      <alignment vertical="center"/>
    </xf>
    <xf numFmtId="0" fontId="32" fillId="35" borderId="0">
      <alignment vertical="center"/>
    </xf>
    <xf numFmtId="0" fontId="32" fillId="35" borderId="0">
      <alignment vertical="center"/>
    </xf>
    <xf numFmtId="0" fontId="32" fillId="35" borderId="0">
      <alignment vertical="center"/>
    </xf>
    <xf numFmtId="0" fontId="32" fillId="35" borderId="0">
      <alignment vertical="center"/>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87" fontId="36" fillId="0" borderId="0" applyNumberFormat="0" applyFill="0" applyAlignment="0" applyProtection="0"/>
    <xf numFmtId="187" fontId="37" fillId="0" borderId="0" applyNumberFormat="0" applyFill="0" applyAlignment="0" applyProtection="0"/>
    <xf numFmtId="187" fontId="37" fillId="0" borderId="0" applyNumberFormat="0" applyFont="0" applyFill="0" applyBorder="0" applyAlignment="0" applyProtection="0"/>
    <xf numFmtId="187" fontId="37" fillId="0" borderId="0" applyNumberFormat="0" applyFont="0" applyFill="0" applyBorder="0" applyAlignment="0" applyProtection="0"/>
    <xf numFmtId="188" fontId="22" fillId="0" borderId="8">
      <alignment horizontal="right" vertical="center"/>
    </xf>
    <xf numFmtId="0" fontId="67"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38" fillId="0" borderId="0" applyFill="0" applyBorder="0" applyProtection="0">
      <alignment horizontal="left"/>
    </xf>
    <xf numFmtId="1" fontId="5" fillId="28" borderId="0"/>
    <xf numFmtId="1" fontId="5" fillId="28" borderId="0"/>
    <xf numFmtId="1" fontId="5" fillId="28" borderId="0"/>
    <xf numFmtId="0" fontId="39" fillId="7" borderId="2" applyNumberFormat="0" applyAlignment="0" applyProtection="0"/>
    <xf numFmtId="0" fontId="39" fillId="7" borderId="2" applyNumberFormat="0" applyAlignment="0" applyProtection="0"/>
    <xf numFmtId="0" fontId="39" fillId="7" borderId="2" applyNumberFormat="0" applyAlignment="0" applyProtection="0"/>
    <xf numFmtId="0" fontId="39" fillId="7" borderId="2" applyNumberFormat="0" applyAlignment="0" applyProtection="0"/>
    <xf numFmtId="0" fontId="39" fillId="7" borderId="2" applyNumberFormat="0" applyAlignment="0" applyProtection="0"/>
    <xf numFmtId="0" fontId="39" fillId="7" borderId="2" applyNumberFormat="0" applyAlignment="0" applyProtection="0"/>
    <xf numFmtId="0" fontId="39" fillId="7" borderId="2" applyNumberFormat="0" applyAlignment="0" applyProtection="0"/>
    <xf numFmtId="0" fontId="39" fillId="7" borderId="2" applyNumberFormat="0" applyAlignment="0" applyProtection="0"/>
    <xf numFmtId="0" fontId="39" fillId="7" borderId="2" applyNumberFormat="0" applyAlignment="0" applyProtection="0"/>
    <xf numFmtId="0" fontId="39" fillId="7" borderId="2" applyNumberFormat="0" applyAlignment="0" applyProtection="0"/>
    <xf numFmtId="1" fontId="5" fillId="28" borderId="0"/>
    <xf numFmtId="1" fontId="5" fillId="28" borderId="0"/>
    <xf numFmtId="1" fontId="5" fillId="28" borderId="0"/>
    <xf numFmtId="1" fontId="5" fillId="28" borderId="0"/>
    <xf numFmtId="1" fontId="5" fillId="28" borderId="0"/>
    <xf numFmtId="1" fontId="5" fillId="28" borderId="0"/>
    <xf numFmtId="1" fontId="5" fillId="28" borderId="0"/>
    <xf numFmtId="0" fontId="40" fillId="0" borderId="0">
      <alignment horizontal="left" indent="1"/>
    </xf>
    <xf numFmtId="0" fontId="41" fillId="0" borderId="0"/>
    <xf numFmtId="0" fontId="42" fillId="0" borderId="0">
      <alignment horizontal="center"/>
    </xf>
    <xf numFmtId="0" fontId="29" fillId="0" borderId="9" applyProtection="0">
      <alignment horizontal="right"/>
    </xf>
    <xf numFmtId="0" fontId="29" fillId="0" borderId="7" applyProtection="0">
      <alignment horizontal="right"/>
    </xf>
    <xf numFmtId="0" fontId="29" fillId="0" borderId="10" applyProtection="0">
      <alignment horizontal="center"/>
      <protection locked="0"/>
    </xf>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19" fillId="36" borderId="0">
      <alignment horizontal="right" vertical="center"/>
    </xf>
    <xf numFmtId="0" fontId="5" fillId="0" borderId="0"/>
    <xf numFmtId="49" fontId="45" fillId="22" borderId="0">
      <alignment horizontal="centerContinuous" vertical="center"/>
    </xf>
    <xf numFmtId="1" fontId="5" fillId="0" borderId="0" applyFont="0" applyFill="0" applyBorder="0" applyProtection="0">
      <alignment horizontal="right"/>
    </xf>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7" fillId="13" borderId="0" applyNumberFormat="0" applyBorder="0" applyAlignment="0" applyProtection="0"/>
    <xf numFmtId="0" fontId="47" fillId="13" borderId="0" applyNumberFormat="0" applyBorder="0" applyAlignment="0" applyProtection="0"/>
    <xf numFmtId="0" fontId="47" fillId="13" borderId="0" applyNumberFormat="0" applyBorder="0" applyAlignment="0" applyProtection="0"/>
    <xf numFmtId="0" fontId="47" fillId="13" borderId="0" applyNumberFormat="0" applyBorder="0" applyAlignment="0" applyProtection="0"/>
    <xf numFmtId="0" fontId="47" fillId="13" borderId="0" applyNumberFormat="0" applyBorder="0" applyAlignment="0" applyProtection="0"/>
    <xf numFmtId="0" fontId="47" fillId="13" borderId="0" applyNumberFormat="0" applyBorder="0" applyAlignment="0" applyProtection="0"/>
    <xf numFmtId="0" fontId="47" fillId="13" borderId="0" applyNumberFormat="0" applyBorder="0" applyAlignment="0" applyProtection="0"/>
    <xf numFmtId="0" fontId="47" fillId="13" borderId="0" applyNumberFormat="0" applyBorder="0" applyAlignment="0" applyProtection="0"/>
    <xf numFmtId="0" fontId="47" fillId="13" borderId="0" applyNumberFormat="0" applyBorder="0" applyAlignment="0" applyProtection="0"/>
    <xf numFmtId="0" fontId="47"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6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xf numFmtId="0" fontId="5" fillId="0" borderId="0"/>
    <xf numFmtId="0" fontId="5" fillId="0" borderId="0"/>
    <xf numFmtId="189" fontId="21" fillId="0" borderId="0" applyFont="0" applyFill="0" applyBorder="0" applyAlignment="0" applyProtection="0"/>
    <xf numFmtId="190" fontId="21" fillId="0" borderId="0" applyFont="0" applyFill="0" applyBorder="0" applyAlignment="0" applyProtection="0"/>
    <xf numFmtId="191" fontId="21" fillId="0" borderId="0" applyFont="0" applyFill="0" applyBorder="0" applyAlignment="0" applyProtection="0"/>
    <xf numFmtId="192" fontId="21" fillId="0" borderId="0" applyFont="0" applyFill="0" applyBorder="0" applyAlignment="0" applyProtection="0"/>
    <xf numFmtId="0" fontId="5" fillId="13" borderId="13" applyNumberFormat="0" applyFont="0" applyAlignment="0" applyProtection="0"/>
    <xf numFmtId="0" fontId="5" fillId="13" borderId="13" applyNumberFormat="0" applyFont="0" applyAlignment="0" applyProtection="0"/>
    <xf numFmtId="0" fontId="5" fillId="13" borderId="13" applyNumberFormat="0" applyFont="0" applyAlignment="0" applyProtection="0"/>
    <xf numFmtId="0" fontId="12" fillId="13" borderId="2" applyNumberFormat="0" applyFont="0" applyAlignment="0" applyProtection="0"/>
    <xf numFmtId="0" fontId="12" fillId="13" borderId="2" applyNumberFormat="0" applyFont="0" applyAlignment="0" applyProtection="0"/>
    <xf numFmtId="0" fontId="12" fillId="13" borderId="2" applyNumberFormat="0" applyFont="0" applyAlignment="0" applyProtection="0"/>
    <xf numFmtId="0" fontId="12" fillId="13" borderId="2" applyNumberFormat="0" applyFont="0" applyAlignment="0" applyProtection="0"/>
    <xf numFmtId="0" fontId="12" fillId="13" borderId="2" applyNumberFormat="0" applyFont="0" applyAlignment="0" applyProtection="0"/>
    <xf numFmtId="0" fontId="12" fillId="13" borderId="2" applyNumberFormat="0" applyFont="0" applyAlignment="0" applyProtection="0"/>
    <xf numFmtId="0" fontId="12" fillId="13" borderId="2" applyNumberFormat="0" applyFont="0" applyAlignment="0" applyProtection="0"/>
    <xf numFmtId="0" fontId="12" fillId="13" borderId="2" applyNumberFormat="0" applyFont="0" applyAlignment="0" applyProtection="0"/>
    <xf numFmtId="0" fontId="12" fillId="13" borderId="2" applyNumberFormat="0" applyFont="0" applyAlignment="0" applyProtection="0"/>
    <xf numFmtId="0" fontId="12" fillId="13" borderId="2" applyNumberFormat="0" applyFont="0" applyAlignment="0" applyProtection="0"/>
    <xf numFmtId="0" fontId="5" fillId="13" borderId="13" applyNumberFormat="0" applyFont="0" applyAlignment="0" applyProtection="0"/>
    <xf numFmtId="0" fontId="5" fillId="13" borderId="13" applyNumberFormat="0" applyFont="0" applyAlignment="0" applyProtection="0"/>
    <xf numFmtId="0" fontId="5" fillId="13" borderId="13" applyNumberFormat="0" applyFont="0" applyAlignment="0" applyProtection="0"/>
    <xf numFmtId="0" fontId="5" fillId="13" borderId="13" applyNumberFormat="0" applyFont="0" applyAlignment="0" applyProtection="0"/>
    <xf numFmtId="0" fontId="5" fillId="13" borderId="13" applyNumberFormat="0" applyFont="0" applyAlignment="0" applyProtection="0"/>
    <xf numFmtId="0" fontId="5" fillId="13" borderId="13" applyNumberFormat="0" applyFont="0" applyAlignment="0" applyProtection="0"/>
    <xf numFmtId="0" fontId="5" fillId="13" borderId="13" applyNumberFormat="0" applyFont="0" applyAlignment="0" applyProtection="0"/>
    <xf numFmtId="0" fontId="48" fillId="8" borderId="0">
      <alignment horizontal="left" vertical="top" wrapText="1"/>
    </xf>
    <xf numFmtId="0" fontId="49" fillId="2" borderId="14" applyNumberFormat="0" applyAlignment="0" applyProtection="0"/>
    <xf numFmtId="0" fontId="49" fillId="2" borderId="14" applyNumberFormat="0" applyAlignment="0" applyProtection="0"/>
    <xf numFmtId="0" fontId="49" fillId="2" borderId="14" applyNumberFormat="0" applyAlignment="0" applyProtection="0"/>
    <xf numFmtId="0" fontId="49" fillId="8" borderId="14" applyNumberFormat="0" applyAlignment="0" applyProtection="0"/>
    <xf numFmtId="0" fontId="49" fillId="8" borderId="14" applyNumberFormat="0" applyAlignment="0" applyProtection="0"/>
    <xf numFmtId="0" fontId="49" fillId="8" borderId="14" applyNumberFormat="0" applyAlignment="0" applyProtection="0"/>
    <xf numFmtId="0" fontId="49" fillId="8" borderId="14" applyNumberFormat="0" applyAlignment="0" applyProtection="0"/>
    <xf numFmtId="0" fontId="49" fillId="8" borderId="14" applyNumberFormat="0" applyAlignment="0" applyProtection="0"/>
    <xf numFmtId="0" fontId="49" fillId="8" borderId="14" applyNumberFormat="0" applyAlignment="0" applyProtection="0"/>
    <xf numFmtId="0" fontId="49" fillId="8" borderId="14" applyNumberFormat="0" applyAlignment="0" applyProtection="0"/>
    <xf numFmtId="0" fontId="49" fillId="8" borderId="14" applyNumberFormat="0" applyAlignment="0" applyProtection="0"/>
    <xf numFmtId="0" fontId="49" fillId="8" borderId="14" applyNumberFormat="0" applyAlignment="0" applyProtection="0"/>
    <xf numFmtId="0" fontId="49" fillId="8" borderId="14" applyNumberFormat="0" applyAlignment="0" applyProtection="0"/>
    <xf numFmtId="0" fontId="49" fillId="2" borderId="14" applyNumberFormat="0" applyAlignment="0" applyProtection="0"/>
    <xf numFmtId="0" fontId="49" fillId="2" borderId="14" applyNumberFormat="0" applyAlignment="0" applyProtection="0"/>
    <xf numFmtId="0" fontId="49" fillId="2" borderId="14" applyNumberFormat="0" applyAlignment="0" applyProtection="0"/>
    <xf numFmtId="0" fontId="49" fillId="2" borderId="14" applyNumberFormat="0" applyAlignment="0" applyProtection="0"/>
    <xf numFmtId="0" fontId="49" fillId="2" borderId="14" applyNumberFormat="0" applyAlignment="0" applyProtection="0"/>
    <xf numFmtId="0" fontId="49" fillId="2" borderId="14" applyNumberFormat="0" applyAlignment="0" applyProtection="0"/>
    <xf numFmtId="0" fontId="49" fillId="2" borderId="14" applyNumberFormat="0" applyAlignment="0" applyProtection="0"/>
    <xf numFmtId="193" fontId="5" fillId="0" borderId="0" applyFont="0" applyFill="0" applyBorder="0" applyProtection="0">
      <alignment horizontal="right"/>
    </xf>
    <xf numFmtId="9" fontId="5" fillId="0" borderId="0" applyFont="0" applyFill="0" applyBorder="0" applyAlignment="0" applyProtection="0"/>
    <xf numFmtId="9" fontId="5" fillId="0" borderId="0" applyFont="0" applyFill="0" applyBorder="0" applyAlignment="0" applyProtection="0"/>
    <xf numFmtId="171" fontId="50" fillId="0" borderId="0">
      <alignment horizontal="right"/>
    </xf>
    <xf numFmtId="168" fontId="51" fillId="31" borderId="0">
      <alignment horizontal="right"/>
    </xf>
    <xf numFmtId="0" fontId="19" fillId="22" borderId="0">
      <alignment horizontal="right" vertical="center"/>
    </xf>
    <xf numFmtId="0" fontId="12" fillId="0" borderId="0"/>
    <xf numFmtId="0" fontId="52" fillId="37" borderId="15">
      <alignment horizontal="center"/>
    </xf>
    <xf numFmtId="3" fontId="53" fillId="37" borderId="0"/>
    <xf numFmtId="3" fontId="52" fillId="37" borderId="0"/>
    <xf numFmtId="0" fontId="53" fillId="37" borderId="0"/>
    <xf numFmtId="0" fontId="52" fillId="37" borderId="0"/>
    <xf numFmtId="0" fontId="53" fillId="37" borderId="0">
      <alignment horizontal="center"/>
    </xf>
    <xf numFmtId="0" fontId="8" fillId="35" borderId="6"/>
    <xf numFmtId="0" fontId="54" fillId="0" borderId="0">
      <alignment wrapText="1"/>
    </xf>
    <xf numFmtId="0" fontId="55" fillId="38" borderId="0">
      <alignment horizontal="right" vertical="top" wrapText="1"/>
    </xf>
    <xf numFmtId="0" fontId="56" fillId="0" borderId="0"/>
    <xf numFmtId="0" fontId="57" fillId="0" borderId="0"/>
    <xf numFmtId="0" fontId="58" fillId="0" borderId="0"/>
    <xf numFmtId="194" fontId="22" fillId="0" borderId="0">
      <alignment wrapText="1"/>
      <protection locked="0"/>
    </xf>
    <xf numFmtId="194" fontId="55" fillId="39" borderId="0">
      <alignment wrapText="1"/>
      <protection locked="0"/>
    </xf>
    <xf numFmtId="195" fontId="22" fillId="0" borderId="0">
      <alignment wrapText="1"/>
      <protection locked="0"/>
    </xf>
    <xf numFmtId="195" fontId="55" fillId="39" borderId="0">
      <alignment wrapText="1"/>
      <protection locked="0"/>
    </xf>
    <xf numFmtId="196" fontId="22" fillId="0" borderId="0">
      <alignment wrapText="1"/>
      <protection locked="0"/>
    </xf>
    <xf numFmtId="196" fontId="55" fillId="39" borderId="0">
      <alignment wrapText="1"/>
      <protection locked="0"/>
    </xf>
    <xf numFmtId="197" fontId="55" fillId="38" borderId="16">
      <alignment wrapText="1"/>
    </xf>
    <xf numFmtId="198" fontId="55" fillId="38" borderId="16">
      <alignment wrapText="1"/>
    </xf>
    <xf numFmtId="199" fontId="55" fillId="38" borderId="16">
      <alignment wrapText="1"/>
    </xf>
    <xf numFmtId="0" fontId="56" fillId="0" borderId="17">
      <alignment horizontal="right"/>
    </xf>
    <xf numFmtId="200" fontId="5" fillId="0" borderId="0" applyAlignment="0">
      <alignment horizontal="left"/>
    </xf>
    <xf numFmtId="49" fontId="21" fillId="0" borderId="0" applyFont="0" applyFill="0" applyBorder="0" applyAlignment="0" applyProtection="0"/>
    <xf numFmtId="0" fontId="55" fillId="8" borderId="0"/>
    <xf numFmtId="0" fontId="22" fillId="8" borderId="0">
      <alignment horizontal="left"/>
    </xf>
    <xf numFmtId="0" fontId="22" fillId="8" borderId="0">
      <alignment horizontal="left" indent="1"/>
    </xf>
    <xf numFmtId="0" fontId="22" fillId="8" borderId="0">
      <alignment horizontal="left" vertical="center" indent="2"/>
    </xf>
    <xf numFmtId="49" fontId="59" fillId="0" borderId="0" applyFill="0" applyBorder="0" applyProtection="0">
      <alignment horizontal="center" vertical="top"/>
    </xf>
    <xf numFmtId="0" fontId="38" fillId="0" borderId="0">
      <alignment horizontal="center"/>
    </xf>
    <xf numFmtId="15" fontId="38" fillId="0" borderId="0">
      <alignment horizontal="center"/>
    </xf>
    <xf numFmtId="49" fontId="60" fillId="8" borderId="0"/>
    <xf numFmtId="49" fontId="60" fillId="8" borderId="0"/>
    <xf numFmtId="49" fontId="60" fillId="8" borderId="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49" fontId="60" fillId="8" borderId="0"/>
    <xf numFmtId="49" fontId="60" fillId="8" borderId="0"/>
    <xf numFmtId="49" fontId="60" fillId="8" borderId="0"/>
    <xf numFmtId="49" fontId="60" fillId="8" borderId="0"/>
    <xf numFmtId="49" fontId="60" fillId="8" borderId="0"/>
    <xf numFmtId="49" fontId="60" fillId="8" borderId="0"/>
    <xf numFmtId="49" fontId="60" fillId="8" borderId="0"/>
    <xf numFmtId="0" fontId="31" fillId="27" borderId="18"/>
    <xf numFmtId="0" fontId="62" fillId="27" borderId="19">
      <alignment horizontal="left"/>
    </xf>
    <xf numFmtId="22" fontId="12" fillId="35" borderId="19">
      <alignment vertical="center"/>
    </xf>
    <xf numFmtId="0" fontId="12" fillId="35" borderId="19">
      <alignment horizontal="left" vertical="top" wrapText="1"/>
    </xf>
    <xf numFmtId="0" fontId="12" fillId="35" borderId="20"/>
    <xf numFmtId="0" fontId="12" fillId="35" borderId="20"/>
    <xf numFmtId="0" fontId="63" fillId="0" borderId="21" applyNumberFormat="0" applyFill="0" applyAlignment="0" applyProtection="0"/>
    <xf numFmtId="0" fontId="63" fillId="0" borderId="21" applyNumberFormat="0" applyFill="0" applyAlignment="0" applyProtection="0"/>
    <xf numFmtId="0" fontId="63" fillId="0" borderId="21"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63" fillId="0" borderId="21" applyNumberFormat="0" applyFill="0" applyAlignment="0" applyProtection="0"/>
    <xf numFmtId="0" fontId="63" fillId="0" borderId="21" applyNumberFormat="0" applyFill="0" applyAlignment="0" applyProtection="0"/>
    <xf numFmtId="0" fontId="63" fillId="0" borderId="21" applyNumberFormat="0" applyFill="0" applyAlignment="0" applyProtection="0"/>
    <xf numFmtId="0" fontId="63" fillId="0" borderId="21" applyNumberFormat="0" applyFill="0" applyAlignment="0" applyProtection="0"/>
    <xf numFmtId="0" fontId="63" fillId="0" borderId="21" applyNumberFormat="0" applyFill="0" applyAlignment="0" applyProtection="0"/>
    <xf numFmtId="0" fontId="63" fillId="0" borderId="21" applyNumberFormat="0" applyFill="0" applyAlignment="0" applyProtection="0"/>
    <xf numFmtId="0" fontId="63" fillId="0" borderId="21"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22" fillId="0" borderId="0"/>
    <xf numFmtId="49" fontId="59" fillId="16" borderId="0" applyNumberFormat="0" applyFont="0" applyBorder="0" applyAlignment="0" applyProtection="0">
      <alignment horizontal="center"/>
    </xf>
    <xf numFmtId="10" fontId="5" fillId="40" borderId="6" applyNumberFormat="0" applyFont="0" applyBorder="0" applyAlignment="0" applyProtection="0">
      <protection locked="0"/>
    </xf>
    <xf numFmtId="201" fontId="23" fillId="0" borderId="0" applyFont="0" applyFill="0" applyBorder="0" applyAlignment="0" applyProtection="0"/>
    <xf numFmtId="0" fontId="69" fillId="0" borderId="0" applyNumberFormat="0" applyFill="0" applyBorder="0" applyAlignment="0" applyProtection="0">
      <alignment vertical="top"/>
      <protection locked="0"/>
    </xf>
    <xf numFmtId="0" fontId="70" fillId="0" borderId="0"/>
    <xf numFmtId="0" fontId="71" fillId="0" borderId="0"/>
    <xf numFmtId="0" fontId="70" fillId="0" borderId="0"/>
    <xf numFmtId="44" fontId="5" fillId="0" borderId="0" applyFont="0" applyFill="0" applyBorder="0" applyAlignment="0" applyProtection="0"/>
    <xf numFmtId="0" fontId="6" fillId="0" borderId="0" applyNumberFormat="0" applyFill="0" applyBorder="0" applyAlignment="0" applyProtection="0">
      <alignment vertical="top"/>
      <protection locked="0"/>
    </xf>
    <xf numFmtId="44" fontId="3"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4" fillId="20" borderId="3" applyNumberFormat="0" applyAlignment="0" applyProtection="0"/>
    <xf numFmtId="0" fontId="4" fillId="20" borderId="3" applyNumberFormat="0" applyAlignment="0" applyProtection="0"/>
    <xf numFmtId="0" fontId="4" fillId="20" borderId="3" applyNumberFormat="0" applyAlignment="0" applyProtection="0"/>
    <xf numFmtId="0" fontId="4" fillId="8" borderId="3" applyNumberFormat="0" applyAlignment="0" applyProtection="0"/>
    <xf numFmtId="0" fontId="4" fillId="8" borderId="3" applyNumberFormat="0" applyAlignment="0" applyProtection="0"/>
    <xf numFmtId="0" fontId="4" fillId="8" borderId="3" applyNumberFormat="0" applyAlignment="0" applyProtection="0"/>
    <xf numFmtId="0" fontId="4" fillId="8" borderId="3" applyNumberFormat="0" applyAlignment="0" applyProtection="0"/>
    <xf numFmtId="0" fontId="4" fillId="8" borderId="3" applyNumberFormat="0" applyAlignment="0" applyProtection="0"/>
    <xf numFmtId="0" fontId="4" fillId="8" borderId="3" applyNumberFormat="0" applyAlignment="0" applyProtection="0"/>
    <xf numFmtId="0" fontId="4" fillId="8" borderId="3" applyNumberFormat="0" applyAlignment="0" applyProtection="0"/>
    <xf numFmtId="0" fontId="4" fillId="8" borderId="3" applyNumberFormat="0" applyAlignment="0" applyProtection="0"/>
    <xf numFmtId="0" fontId="4" fillId="8" borderId="3" applyNumberFormat="0" applyAlignment="0" applyProtection="0"/>
    <xf numFmtId="0" fontId="4" fillId="8" borderId="3" applyNumberFormat="0" applyAlignment="0" applyProtection="0"/>
    <xf numFmtId="0" fontId="4" fillId="20" borderId="3" applyNumberFormat="0" applyAlignment="0" applyProtection="0"/>
    <xf numFmtId="0" fontId="4" fillId="20" borderId="3" applyNumberFormat="0" applyAlignment="0" applyProtection="0"/>
    <xf numFmtId="0" fontId="4" fillId="20" borderId="3" applyNumberFormat="0" applyAlignment="0" applyProtection="0"/>
    <xf numFmtId="0" fontId="4" fillId="20" borderId="3" applyNumberFormat="0" applyAlignment="0" applyProtection="0"/>
    <xf numFmtId="0" fontId="4" fillId="20" borderId="3" applyNumberFormat="0" applyAlignment="0" applyProtection="0"/>
    <xf numFmtId="0" fontId="4" fillId="20" borderId="3" applyNumberFormat="0" applyAlignment="0" applyProtection="0"/>
    <xf numFmtId="0" fontId="4" fillId="20" borderId="3" applyNumberFormat="0" applyAlignment="0" applyProtection="0"/>
    <xf numFmtId="0" fontId="73" fillId="0" borderId="0"/>
    <xf numFmtId="0" fontId="5" fillId="0" borderId="0"/>
    <xf numFmtId="0" fontId="73" fillId="0" borderId="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4" fillId="20" borderId="3" applyNumberFormat="0" applyAlignment="0" applyProtection="0"/>
    <xf numFmtId="0" fontId="4" fillId="20" borderId="3" applyNumberFormat="0" applyAlignment="0" applyProtection="0"/>
    <xf numFmtId="0" fontId="4" fillId="20" borderId="3" applyNumberFormat="0" applyAlignment="0" applyProtection="0"/>
    <xf numFmtId="0" fontId="4" fillId="8" borderId="3" applyNumberFormat="0" applyAlignment="0" applyProtection="0"/>
    <xf numFmtId="0" fontId="4" fillId="8" borderId="3" applyNumberFormat="0" applyAlignment="0" applyProtection="0"/>
    <xf numFmtId="0" fontId="4" fillId="8" borderId="3" applyNumberFormat="0" applyAlignment="0" applyProtection="0"/>
    <xf numFmtId="0" fontId="4" fillId="8" borderId="3" applyNumberFormat="0" applyAlignment="0" applyProtection="0"/>
    <xf numFmtId="0" fontId="4" fillId="8" borderId="3" applyNumberFormat="0" applyAlignment="0" applyProtection="0"/>
    <xf numFmtId="0" fontId="4" fillId="8" borderId="3" applyNumberFormat="0" applyAlignment="0" applyProtection="0"/>
    <xf numFmtId="0" fontId="4" fillId="8" borderId="3" applyNumberFormat="0" applyAlignment="0" applyProtection="0"/>
    <xf numFmtId="0" fontId="4" fillId="8" borderId="3" applyNumberFormat="0" applyAlignment="0" applyProtection="0"/>
    <xf numFmtId="0" fontId="4" fillId="8" borderId="3" applyNumberFormat="0" applyAlignment="0" applyProtection="0"/>
    <xf numFmtId="0" fontId="4" fillId="8" borderId="3" applyNumberFormat="0" applyAlignment="0" applyProtection="0"/>
    <xf numFmtId="0" fontId="4" fillId="20" borderId="3" applyNumberFormat="0" applyAlignment="0" applyProtection="0"/>
    <xf numFmtId="0" fontId="4" fillId="20" borderId="3" applyNumberFormat="0" applyAlignment="0" applyProtection="0"/>
    <xf numFmtId="0" fontId="4" fillId="20" borderId="3" applyNumberFormat="0" applyAlignment="0" applyProtection="0"/>
    <xf numFmtId="0" fontId="4" fillId="20" borderId="3" applyNumberFormat="0" applyAlignment="0" applyProtection="0"/>
    <xf numFmtId="0" fontId="4" fillId="20" borderId="3" applyNumberFormat="0" applyAlignment="0" applyProtection="0"/>
    <xf numFmtId="0" fontId="4" fillId="20" borderId="3" applyNumberFormat="0" applyAlignment="0" applyProtection="0"/>
    <xf numFmtId="0" fontId="4" fillId="20" borderId="3" applyNumberFormat="0" applyAlignment="0" applyProtection="0"/>
    <xf numFmtId="0" fontId="75" fillId="0" borderId="0"/>
    <xf numFmtId="0" fontId="70" fillId="0" borderId="0"/>
    <xf numFmtId="0" fontId="70" fillId="0" borderId="0"/>
    <xf numFmtId="0" fontId="5" fillId="0" borderId="0"/>
    <xf numFmtId="0" fontId="76" fillId="0" borderId="0"/>
    <xf numFmtId="0" fontId="79" fillId="0" borderId="0" applyNumberFormat="0" applyFill="0" applyBorder="0" applyAlignment="0" applyProtection="0">
      <alignment vertical="top"/>
      <protection locked="0"/>
    </xf>
    <xf numFmtId="0" fontId="80" fillId="0" borderId="0"/>
    <xf numFmtId="0" fontId="2" fillId="0" borderId="0"/>
    <xf numFmtId="44" fontId="2" fillId="0" borderId="0" applyFont="0" applyFill="0" applyBorder="0" applyAlignment="0" applyProtection="0"/>
    <xf numFmtId="0" fontId="78" fillId="0" borderId="0"/>
    <xf numFmtId="0" fontId="5" fillId="0" borderId="0" applyNumberFormat="0" applyFont="0" applyFill="0" applyBorder="0" applyAlignment="0" applyProtection="0"/>
    <xf numFmtId="0" fontId="3" fillId="0" borderId="0"/>
    <xf numFmtId="0" fontId="65" fillId="0" borderId="0"/>
    <xf numFmtId="0" fontId="66" fillId="41" borderId="23" applyNumberFormat="0" applyAlignment="0" applyProtection="0"/>
    <xf numFmtId="0" fontId="65" fillId="0" borderId="0"/>
    <xf numFmtId="0" fontId="5" fillId="0" borderId="0"/>
    <xf numFmtId="0" fontId="1" fillId="0" borderId="0"/>
    <xf numFmtId="0" fontId="65" fillId="0" borderId="0"/>
    <xf numFmtId="0" fontId="1" fillId="0" borderId="0"/>
    <xf numFmtId="44" fontId="1" fillId="0" borderId="0" applyFont="0" applyFill="0" applyBorder="0" applyAlignment="0" applyProtection="0"/>
    <xf numFmtId="0" fontId="78" fillId="0" borderId="0"/>
  </cellStyleXfs>
  <cellXfs count="318">
    <xf numFmtId="0" fontId="0" fillId="0" borderId="0" xfId="0"/>
    <xf numFmtId="0" fontId="72" fillId="0" borderId="0" xfId="0" applyFont="1" applyFill="1" applyBorder="1" applyAlignment="1">
      <alignment horizontal="center" vertical="center" wrapText="1"/>
    </xf>
    <xf numFmtId="0" fontId="0" fillId="0" borderId="0" xfId="0"/>
    <xf numFmtId="164" fontId="72" fillId="0" borderId="0" xfId="1256" applyNumberFormat="1" applyFont="1" applyFill="1" applyBorder="1" applyAlignment="1">
      <alignment vertical="center"/>
    </xf>
    <xf numFmtId="0" fontId="72" fillId="0" borderId="0" xfId="1256" applyFont="1" applyFill="1" applyBorder="1" applyAlignment="1">
      <alignment vertical="center"/>
    </xf>
    <xf numFmtId="0" fontId="72" fillId="0" borderId="0" xfId="1256" applyFont="1" applyFill="1" applyBorder="1" applyAlignment="1">
      <alignment vertical="center" wrapText="1"/>
    </xf>
    <xf numFmtId="0" fontId="72" fillId="0" borderId="0" xfId="0" applyFont="1" applyFill="1" applyBorder="1" applyAlignment="1">
      <alignment vertical="center" wrapText="1"/>
    </xf>
    <xf numFmtId="49" fontId="72" fillId="0" borderId="0" xfId="1244" applyNumberFormat="1" applyFont="1" applyFill="1" applyBorder="1" applyAlignment="1" applyProtection="1">
      <alignment horizontal="center" vertical="center" wrapText="1"/>
      <protection locked="0"/>
    </xf>
    <xf numFmtId="0" fontId="72" fillId="0" borderId="0" xfId="1245" applyFont="1" applyFill="1" applyBorder="1" applyAlignment="1">
      <alignment horizontal="center" vertical="center" wrapText="1"/>
    </xf>
    <xf numFmtId="164" fontId="72" fillId="0" borderId="0" xfId="0" applyNumberFormat="1" applyFont="1" applyFill="1" applyBorder="1" applyAlignment="1">
      <alignment vertical="center" wrapText="1"/>
    </xf>
    <xf numFmtId="202" fontId="72" fillId="49" borderId="0" xfId="0" applyNumberFormat="1" applyFont="1" applyFill="1" applyBorder="1" applyAlignment="1">
      <alignment vertical="center" wrapText="1"/>
    </xf>
    <xf numFmtId="49" fontId="72" fillId="0" borderId="0" xfId="1244" applyNumberFormat="1" applyFont="1" applyFill="1" applyBorder="1" applyAlignment="1" applyProtection="1">
      <alignment vertical="center" wrapText="1"/>
      <protection locked="0"/>
    </xf>
    <xf numFmtId="2" fontId="72" fillId="0" borderId="0" xfId="1244" applyNumberFormat="1" applyFont="1" applyFill="1" applyBorder="1" applyAlignment="1" applyProtection="1">
      <alignment vertical="center" wrapText="1"/>
      <protection locked="0"/>
    </xf>
    <xf numFmtId="0" fontId="72" fillId="0" borderId="0" xfId="781" applyFont="1" applyFill="1" applyBorder="1" applyAlignment="1" applyProtection="1">
      <alignment vertical="center" wrapText="1"/>
    </xf>
    <xf numFmtId="164" fontId="72" fillId="0" borderId="0" xfId="3" applyNumberFormat="1" applyFont="1" applyFill="1" applyBorder="1" applyAlignment="1">
      <alignment vertical="center" wrapText="1"/>
    </xf>
    <xf numFmtId="0" fontId="72" fillId="0" borderId="0" xfId="0" applyNumberFormat="1" applyFont="1" applyFill="1" applyBorder="1" applyAlignment="1" applyProtection="1">
      <alignment vertical="center" wrapText="1"/>
    </xf>
    <xf numFmtId="0" fontId="72" fillId="0" borderId="0" xfId="1245" applyFont="1" applyFill="1" applyBorder="1" applyAlignment="1">
      <alignment vertical="center" wrapText="1"/>
    </xf>
    <xf numFmtId="0" fontId="72" fillId="0" borderId="0" xfId="1248" applyFont="1" applyFill="1" applyBorder="1" applyAlignment="1">
      <alignment vertical="center" wrapText="1"/>
    </xf>
    <xf numFmtId="0" fontId="72" fillId="0" borderId="0" xfId="794" applyNumberFormat="1" applyFont="1" applyFill="1" applyBorder="1" applyAlignment="1" applyProtection="1">
      <alignment vertical="center" wrapText="1"/>
    </xf>
    <xf numFmtId="0" fontId="72" fillId="0" borderId="0" xfId="781" applyNumberFormat="1" applyFont="1" applyFill="1" applyBorder="1" applyAlignment="1" applyProtection="1">
      <alignment vertical="center" wrapText="1"/>
    </xf>
    <xf numFmtId="0" fontId="72" fillId="0" borderId="0" xfId="781" applyFont="1" applyFill="1" applyBorder="1" applyAlignment="1">
      <alignment vertical="center" wrapText="1"/>
    </xf>
    <xf numFmtId="0" fontId="72" fillId="0" borderId="0" xfId="0" applyFont="1" applyBorder="1" applyAlignment="1">
      <alignment vertical="center" wrapText="1"/>
    </xf>
    <xf numFmtId="0" fontId="72" fillId="0" borderId="0" xfId="0" applyNumberFormat="1" applyFont="1" applyFill="1" applyBorder="1" applyAlignment="1">
      <alignment vertical="center" wrapText="1"/>
    </xf>
    <xf numFmtId="166" fontId="72" fillId="0" borderId="0" xfId="0" applyNumberFormat="1" applyFont="1" applyFill="1" applyBorder="1" applyAlignment="1">
      <alignment vertical="center" wrapText="1"/>
    </xf>
    <xf numFmtId="0" fontId="72" fillId="0" borderId="0" xfId="781" applyNumberFormat="1" applyFont="1" applyFill="1" applyBorder="1" applyAlignment="1" applyProtection="1">
      <alignment horizontal="center" vertical="center" wrapText="1"/>
    </xf>
    <xf numFmtId="0" fontId="72" fillId="0" borderId="0" xfId="1248" applyFont="1" applyFill="1" applyBorder="1" applyAlignment="1" applyProtection="1">
      <alignment vertical="center" wrapText="1"/>
    </xf>
    <xf numFmtId="0" fontId="72" fillId="0" borderId="0" xfId="1248" applyNumberFormat="1" applyFont="1" applyFill="1" applyBorder="1" applyAlignment="1" applyProtection="1">
      <alignment vertical="center" wrapText="1"/>
    </xf>
    <xf numFmtId="0" fontId="72" fillId="0" borderId="0" xfId="1248" applyNumberFormat="1" applyFont="1" applyFill="1" applyBorder="1" applyAlignment="1" applyProtection="1">
      <alignment horizontal="center" vertical="center" wrapText="1"/>
    </xf>
    <xf numFmtId="49" fontId="72" fillId="0" borderId="0" xfId="1248" applyNumberFormat="1" applyFont="1" applyFill="1" applyBorder="1" applyAlignment="1" applyProtection="1">
      <alignment vertical="center" wrapText="1"/>
    </xf>
    <xf numFmtId="164" fontId="72" fillId="0" borderId="0" xfId="1247" applyNumberFormat="1" applyFont="1" applyFill="1" applyBorder="1" applyAlignment="1">
      <alignment vertical="center" wrapText="1"/>
    </xf>
    <xf numFmtId="202" fontId="72" fillId="49" borderId="0" xfId="779" applyNumberFormat="1" applyFont="1" applyFill="1" applyBorder="1" applyAlignment="1">
      <alignment vertical="center" wrapText="1"/>
    </xf>
    <xf numFmtId="202" fontId="72" fillId="49" borderId="0" xfId="781" applyNumberFormat="1" applyFont="1" applyFill="1" applyBorder="1" applyAlignment="1">
      <alignment vertical="center"/>
    </xf>
    <xf numFmtId="202" fontId="72" fillId="49" borderId="0" xfId="0" applyNumberFormat="1" applyFont="1" applyFill="1" applyBorder="1" applyAlignment="1">
      <alignment vertical="center"/>
    </xf>
    <xf numFmtId="202" fontId="72" fillId="0" borderId="0" xfId="0" applyNumberFormat="1" applyFont="1" applyFill="1" applyBorder="1" applyAlignment="1">
      <alignment vertical="center"/>
    </xf>
    <xf numFmtId="165" fontId="72" fillId="0" borderId="0" xfId="1249" applyNumberFormat="1" applyFont="1" applyFill="1" applyBorder="1" applyAlignment="1" applyProtection="1">
      <alignment vertical="center" wrapText="1"/>
      <protection locked="0"/>
    </xf>
    <xf numFmtId="203" fontId="72" fillId="0" borderId="0" xfId="781" applyNumberFormat="1" applyFont="1" applyFill="1" applyBorder="1" applyAlignment="1">
      <alignment vertical="center" wrapText="1"/>
    </xf>
    <xf numFmtId="49" fontId="72" fillId="0" borderId="0" xfId="781" applyNumberFormat="1" applyFont="1" applyFill="1" applyBorder="1" applyAlignment="1" applyProtection="1">
      <alignment vertical="center" wrapText="1"/>
    </xf>
    <xf numFmtId="0" fontId="72" fillId="0" borderId="0" xfId="1256" applyNumberFormat="1" applyFont="1" applyFill="1" applyBorder="1" applyAlignment="1">
      <alignment vertical="center" wrapText="1"/>
    </xf>
    <xf numFmtId="0" fontId="72" fillId="0" borderId="0" xfId="1244" applyNumberFormat="1" applyFont="1" applyFill="1" applyBorder="1" applyAlignment="1" applyProtection="1">
      <alignment vertical="center" wrapText="1"/>
      <protection locked="0"/>
    </xf>
    <xf numFmtId="2" fontId="72" fillId="0" borderId="0" xfId="1256" applyNumberFormat="1" applyFont="1" applyFill="1" applyBorder="1" applyAlignment="1">
      <alignment vertical="center" wrapText="1"/>
    </xf>
    <xf numFmtId="0" fontId="72" fillId="0" borderId="0" xfId="1096" applyFont="1" applyFill="1" applyBorder="1" applyAlignment="1" applyProtection="1">
      <alignment vertical="center" wrapText="1"/>
    </xf>
    <xf numFmtId="0" fontId="72" fillId="0" borderId="0" xfId="1096" applyNumberFormat="1" applyFont="1" applyFill="1" applyBorder="1" applyAlignment="1" applyProtection="1">
      <alignment vertical="center" wrapText="1"/>
    </xf>
    <xf numFmtId="49" fontId="72" fillId="0" borderId="0" xfId="1096" applyNumberFormat="1" applyFont="1" applyFill="1" applyBorder="1" applyAlignment="1" applyProtection="1">
      <alignment vertical="center" wrapText="1"/>
    </xf>
    <xf numFmtId="0" fontId="72" fillId="0" borderId="0" xfId="1096" applyFont="1" applyFill="1" applyBorder="1" applyAlignment="1">
      <alignment vertical="center" wrapText="1"/>
    </xf>
    <xf numFmtId="164" fontId="72" fillId="0" borderId="0" xfId="1096" applyNumberFormat="1" applyFont="1" applyFill="1" applyBorder="1" applyAlignment="1">
      <alignment vertical="center" wrapText="1"/>
    </xf>
    <xf numFmtId="2" fontId="72" fillId="0" borderId="0" xfId="1096" applyNumberFormat="1" applyFont="1" applyFill="1" applyBorder="1" applyAlignment="1">
      <alignment vertical="center" wrapText="1"/>
    </xf>
    <xf numFmtId="0" fontId="72" fillId="0" borderId="0" xfId="1251" applyFont="1" applyFill="1" applyBorder="1" applyAlignment="1" applyProtection="1">
      <alignment vertical="center" wrapText="1"/>
    </xf>
    <xf numFmtId="0" fontId="72" fillId="0" borderId="0" xfId="1251" applyNumberFormat="1" applyFont="1" applyFill="1" applyBorder="1" applyAlignment="1" applyProtection="1">
      <alignment vertical="center" wrapText="1"/>
    </xf>
    <xf numFmtId="164" fontId="72" fillId="0" borderId="0" xfId="3" applyNumberFormat="1" applyFont="1" applyFill="1" applyBorder="1" applyAlignment="1">
      <alignment horizontal="right" vertical="center" wrapText="1"/>
    </xf>
    <xf numFmtId="0" fontId="74" fillId="0" borderId="0" xfId="0" applyFont="1" applyFill="1" applyBorder="1" applyAlignment="1">
      <alignment vertical="center" wrapText="1"/>
    </xf>
    <xf numFmtId="0" fontId="74" fillId="42" borderId="0" xfId="0" applyFont="1" applyFill="1" applyBorder="1" applyAlignment="1">
      <alignment horizontal="center" vertical="center" wrapText="1"/>
    </xf>
    <xf numFmtId="0" fontId="72" fillId="0" borderId="0" xfId="3" applyFont="1" applyFill="1" applyBorder="1" applyAlignment="1">
      <alignment horizontal="center" vertical="center" wrapText="1"/>
    </xf>
    <xf numFmtId="0" fontId="74" fillId="0" borderId="0" xfId="0" applyFont="1" applyFill="1" applyBorder="1" applyAlignment="1">
      <alignment horizontal="center" vertical="center" wrapText="1"/>
    </xf>
    <xf numFmtId="0" fontId="72" fillId="0" borderId="0" xfId="1096" applyNumberFormat="1" applyFont="1" applyFill="1" applyBorder="1" applyAlignment="1">
      <alignment horizontal="center" vertical="center" wrapText="1"/>
    </xf>
    <xf numFmtId="0" fontId="72" fillId="0" borderId="0" xfId="1256" applyNumberFormat="1" applyFont="1" applyFill="1" applyBorder="1" applyAlignment="1">
      <alignment horizontal="center" vertical="center" wrapText="1"/>
    </xf>
    <xf numFmtId="0" fontId="72" fillId="0" borderId="0" xfId="0" applyNumberFormat="1" applyFont="1" applyFill="1" applyBorder="1" applyAlignment="1">
      <alignment horizontal="center" vertical="center" wrapText="1"/>
    </xf>
    <xf numFmtId="0" fontId="72" fillId="0" borderId="0" xfId="0" applyNumberFormat="1" applyFont="1" applyFill="1" applyBorder="1" applyAlignment="1">
      <alignment horizontal="center" vertical="center"/>
    </xf>
    <xf numFmtId="0" fontId="72" fillId="0" borderId="0" xfId="1256" applyFont="1" applyFill="1" applyBorder="1" applyAlignment="1">
      <alignment horizontal="center" vertical="center" wrapText="1"/>
    </xf>
    <xf numFmtId="165" fontId="74" fillId="42" borderId="0" xfId="0" applyNumberFormat="1" applyFont="1" applyFill="1" applyBorder="1" applyAlignment="1">
      <alignment horizontal="center" vertical="center" wrapText="1"/>
    </xf>
    <xf numFmtId="164" fontId="74" fillId="42" borderId="0" xfId="0" applyNumberFormat="1" applyFont="1" applyFill="1" applyBorder="1" applyAlignment="1">
      <alignment horizontal="center" vertical="center" wrapText="1"/>
    </xf>
    <xf numFmtId="164" fontId="74" fillId="0" borderId="0" xfId="0" applyNumberFormat="1" applyFont="1" applyFill="1" applyBorder="1" applyAlignment="1">
      <alignment horizontal="center" vertical="center" wrapText="1"/>
    </xf>
    <xf numFmtId="202" fontId="74" fillId="50" borderId="0" xfId="781" applyNumberFormat="1" applyFont="1" applyFill="1" applyBorder="1" applyAlignment="1">
      <alignment horizontal="center" vertical="center" wrapText="1"/>
    </xf>
    <xf numFmtId="0" fontId="74" fillId="50" borderId="0" xfId="0" applyFont="1" applyFill="1" applyBorder="1" applyAlignment="1">
      <alignment horizontal="center" vertical="center" wrapText="1"/>
    </xf>
    <xf numFmtId="0" fontId="74" fillId="42" borderId="0" xfId="0" applyNumberFormat="1" applyFont="1" applyFill="1" applyBorder="1" applyAlignment="1">
      <alignment horizontal="center" vertical="center" wrapText="1"/>
    </xf>
    <xf numFmtId="49" fontId="72" fillId="0" borderId="0" xfId="3" applyNumberFormat="1" applyFont="1" applyFill="1" applyBorder="1" applyAlignment="1">
      <alignment horizontal="center" vertical="center" wrapText="1"/>
    </xf>
    <xf numFmtId="2" fontId="72" fillId="0" borderId="0" xfId="3" applyNumberFormat="1" applyFont="1" applyFill="1" applyBorder="1" applyAlignment="1">
      <alignment horizontal="center" vertical="center" wrapText="1"/>
    </xf>
    <xf numFmtId="0" fontId="72" fillId="0" borderId="0" xfId="1248" applyNumberFormat="1" applyFont="1" applyFill="1" applyBorder="1" applyAlignment="1">
      <alignment horizontal="center" vertical="center" wrapText="1"/>
    </xf>
    <xf numFmtId="0" fontId="72" fillId="0" borderId="0" xfId="781" applyNumberFormat="1" applyFont="1" applyFill="1" applyBorder="1" applyAlignment="1">
      <alignment horizontal="center" vertical="center" wrapText="1"/>
    </xf>
    <xf numFmtId="0" fontId="74" fillId="0" borderId="0" xfId="0" applyFont="1" applyBorder="1" applyAlignment="1">
      <alignment vertical="center"/>
    </xf>
    <xf numFmtId="0" fontId="74" fillId="0" borderId="0" xfId="0" applyFont="1" applyBorder="1" applyAlignment="1">
      <alignment vertical="center" wrapText="1"/>
    </xf>
    <xf numFmtId="0" fontId="74" fillId="0" borderId="0" xfId="951" applyFont="1" applyBorder="1" applyAlignment="1" applyProtection="1">
      <alignment vertical="center" wrapText="1"/>
    </xf>
    <xf numFmtId="0" fontId="74" fillId="0" borderId="0" xfId="1248" applyNumberFormat="1" applyFont="1" applyFill="1" applyBorder="1" applyAlignment="1" applyProtection="1">
      <alignment horizontal="center" vertical="center" wrapText="1"/>
    </xf>
    <xf numFmtId="0" fontId="74" fillId="0" borderId="0" xfId="0" applyFont="1" applyBorder="1" applyAlignment="1">
      <alignment horizontal="center" vertical="center"/>
    </xf>
    <xf numFmtId="0" fontId="74" fillId="0" borderId="0" xfId="951" applyFont="1" applyFill="1" applyBorder="1" applyAlignment="1">
      <alignment horizontal="center" vertical="center" wrapText="1"/>
    </xf>
    <xf numFmtId="164" fontId="74" fillId="0" borderId="0" xfId="1247" applyNumberFormat="1" applyFont="1" applyFill="1" applyBorder="1" applyAlignment="1">
      <alignment vertical="center" wrapText="1"/>
    </xf>
    <xf numFmtId="0" fontId="72" fillId="0" borderId="0" xfId="1247" applyNumberFormat="1" applyFont="1" applyFill="1" applyBorder="1" applyAlignment="1">
      <alignment horizontal="center" vertical="center"/>
    </xf>
    <xf numFmtId="0" fontId="72" fillId="0" borderId="0" xfId="3" applyNumberFormat="1" applyFont="1" applyFill="1" applyBorder="1" applyAlignment="1">
      <alignment horizontal="center" vertical="center"/>
    </xf>
    <xf numFmtId="2" fontId="72" fillId="49" borderId="0" xfId="779" applyNumberFormat="1" applyFont="1" applyFill="1" applyBorder="1" applyAlignment="1">
      <alignment vertical="center" wrapText="1"/>
    </xf>
    <xf numFmtId="0" fontId="72" fillId="0" borderId="0" xfId="951" applyFont="1" applyFill="1" applyBorder="1" applyAlignment="1">
      <alignment horizontal="center" vertical="center" wrapText="1"/>
    </xf>
    <xf numFmtId="0" fontId="72" fillId="0" borderId="0" xfId="951" applyFont="1" applyFill="1" applyBorder="1" applyAlignment="1" applyProtection="1">
      <alignment vertical="center" wrapText="1"/>
    </xf>
    <xf numFmtId="0" fontId="74" fillId="0" borderId="0" xfId="951" applyFont="1" applyFill="1" applyBorder="1" applyAlignment="1" applyProtection="1">
      <alignment vertical="center" wrapText="1"/>
    </xf>
    <xf numFmtId="0" fontId="72" fillId="0" borderId="0" xfId="1256" applyNumberFormat="1" applyFont="1" applyFill="1" applyBorder="1" applyAlignment="1">
      <alignment horizontal="center" vertical="center"/>
    </xf>
    <xf numFmtId="202" fontId="74" fillId="0" borderId="0" xfId="951" applyNumberFormat="1" applyFont="1" applyFill="1" applyBorder="1" applyAlignment="1">
      <alignment horizontal="right" vertical="center" wrapText="1"/>
    </xf>
    <xf numFmtId="2" fontId="72" fillId="0" borderId="0" xfId="1248" applyNumberFormat="1" applyFont="1" applyFill="1" applyBorder="1" applyAlignment="1" applyProtection="1">
      <alignment vertical="center" wrapText="1"/>
    </xf>
    <xf numFmtId="0" fontId="72" fillId="0" borderId="0" xfId="1244" applyNumberFormat="1" applyFont="1" applyFill="1" applyBorder="1" applyAlignment="1" applyProtection="1">
      <alignment horizontal="center" vertical="center" wrapText="1"/>
      <protection locked="0"/>
    </xf>
    <xf numFmtId="0" fontId="72" fillId="0" borderId="0" xfId="3" applyNumberFormat="1" applyFont="1" applyFill="1" applyBorder="1" applyAlignment="1">
      <alignment horizontal="center" vertical="center" wrapText="1"/>
    </xf>
    <xf numFmtId="0" fontId="72" fillId="0" borderId="0" xfId="1247" applyNumberFormat="1" applyFont="1" applyFill="1" applyBorder="1" applyAlignment="1">
      <alignment horizontal="center" vertical="center" wrapText="1"/>
    </xf>
    <xf numFmtId="164" fontId="72" fillId="0" borderId="0" xfId="1096" applyNumberFormat="1" applyFont="1" applyFill="1" applyBorder="1" applyAlignment="1">
      <alignment horizontal="right" vertical="center" wrapText="1"/>
    </xf>
    <xf numFmtId="165" fontId="72" fillId="0" borderId="0" xfId="1249" applyNumberFormat="1" applyFont="1" applyFill="1" applyBorder="1" applyAlignment="1">
      <alignment horizontal="center" vertical="center" wrapText="1"/>
    </xf>
    <xf numFmtId="0" fontId="72" fillId="0" borderId="0" xfId="1249" applyNumberFormat="1" applyFont="1" applyFill="1" applyBorder="1" applyAlignment="1" applyProtection="1">
      <alignment horizontal="center" vertical="center" wrapText="1"/>
      <protection locked="0"/>
    </xf>
    <xf numFmtId="0" fontId="72" fillId="0" borderId="0" xfId="1249" applyNumberFormat="1" applyFont="1" applyFill="1" applyBorder="1" applyAlignment="1">
      <alignment horizontal="center" vertical="center" wrapText="1"/>
    </xf>
    <xf numFmtId="0" fontId="72" fillId="0" borderId="0" xfId="1096" applyNumberFormat="1" applyFont="1" applyFill="1" applyBorder="1" applyAlignment="1" applyProtection="1">
      <alignment horizontal="center" vertical="center" wrapText="1"/>
    </xf>
    <xf numFmtId="49" fontId="72" fillId="0" borderId="0" xfId="1249" applyNumberFormat="1" applyFont="1" applyFill="1" applyBorder="1" applyAlignment="1">
      <alignment horizontal="center" vertical="center" wrapText="1"/>
    </xf>
    <xf numFmtId="1" fontId="72" fillId="0" borderId="0" xfId="1249" applyNumberFormat="1" applyFont="1" applyFill="1" applyBorder="1" applyAlignment="1">
      <alignment horizontal="center" vertical="center" wrapText="1"/>
    </xf>
    <xf numFmtId="2" fontId="72" fillId="0" borderId="0" xfId="0" applyNumberFormat="1" applyFont="1" applyFill="1" applyBorder="1" applyAlignment="1">
      <alignment vertical="center" wrapText="1"/>
    </xf>
    <xf numFmtId="202" fontId="72" fillId="49" borderId="0" xfId="781" applyNumberFormat="1" applyFont="1" applyFill="1" applyBorder="1" applyAlignment="1">
      <alignment vertical="center" wrapText="1"/>
    </xf>
    <xf numFmtId="202" fontId="72" fillId="0" borderId="0" xfId="0" applyNumberFormat="1" applyFont="1" applyFill="1" applyBorder="1" applyAlignment="1">
      <alignment vertical="center" wrapText="1"/>
    </xf>
    <xf numFmtId="49" fontId="72" fillId="0" borderId="0" xfId="0" applyNumberFormat="1" applyFont="1" applyBorder="1" applyAlignment="1">
      <alignment horizontal="center" vertical="center" wrapText="1"/>
    </xf>
    <xf numFmtId="49" fontId="72" fillId="0" borderId="0" xfId="0" applyNumberFormat="1" applyFont="1" applyFill="1" applyBorder="1" applyAlignment="1">
      <alignment horizontal="center" vertical="center" wrapText="1"/>
    </xf>
    <xf numFmtId="0" fontId="74" fillId="0" borderId="0" xfId="0" applyNumberFormat="1" applyFont="1" applyFill="1" applyBorder="1" applyAlignment="1">
      <alignment horizontal="center" vertical="center" wrapText="1"/>
    </xf>
    <xf numFmtId="0" fontId="72" fillId="0" borderId="0" xfId="1258" applyNumberFormat="1" applyFont="1" applyFill="1" applyBorder="1" applyAlignment="1" applyProtection="1">
      <alignment horizontal="center" vertical="center" wrapText="1"/>
      <protection locked="0"/>
    </xf>
    <xf numFmtId="14" fontId="72" fillId="0" borderId="0" xfId="0" applyNumberFormat="1" applyFont="1" applyFill="1" applyBorder="1" applyAlignment="1">
      <alignment horizontal="center" vertical="center" wrapText="1"/>
    </xf>
    <xf numFmtId="164" fontId="72" fillId="0" borderId="0" xfId="1256" applyNumberFormat="1" applyFont="1" applyFill="1" applyBorder="1" applyAlignment="1">
      <alignment vertical="center" wrapText="1"/>
    </xf>
    <xf numFmtId="166" fontId="72" fillId="0" borderId="0" xfId="0" applyNumberFormat="1" applyFont="1" applyFill="1" applyBorder="1" applyAlignment="1">
      <alignment horizontal="center" vertical="center" wrapText="1"/>
    </xf>
    <xf numFmtId="164" fontId="72" fillId="0" borderId="0" xfId="1247" applyNumberFormat="1" applyFont="1" applyFill="1" applyBorder="1" applyAlignment="1">
      <alignment horizontal="right" vertical="center" wrapText="1"/>
    </xf>
    <xf numFmtId="202" fontId="74" fillId="49" borderId="0" xfId="0" applyNumberFormat="1" applyFont="1" applyFill="1" applyBorder="1" applyAlignment="1">
      <alignment vertical="center" wrapText="1"/>
    </xf>
    <xf numFmtId="202" fontId="74" fillId="49" borderId="0" xfId="781" applyNumberFormat="1" applyFont="1" applyFill="1" applyBorder="1" applyAlignment="1">
      <alignment vertical="center" wrapText="1"/>
    </xf>
    <xf numFmtId="0" fontId="74" fillId="0" borderId="0" xfId="0" applyFont="1" applyBorder="1" applyAlignment="1">
      <alignment horizontal="center" vertical="center" wrapText="1"/>
    </xf>
    <xf numFmtId="0" fontId="72" fillId="0" borderId="0" xfId="0" applyFont="1" applyBorder="1" applyAlignment="1">
      <alignment horizontal="center" vertical="center" wrapText="1"/>
    </xf>
    <xf numFmtId="0" fontId="72" fillId="0" borderId="0" xfId="1248" applyFont="1" applyFill="1" applyBorder="1" applyAlignment="1">
      <alignment horizontal="center" vertical="center" wrapText="1"/>
    </xf>
    <xf numFmtId="0" fontId="72" fillId="0" borderId="0" xfId="781" applyFont="1" applyFill="1" applyBorder="1" applyAlignment="1">
      <alignment horizontal="center" vertical="center" wrapText="1"/>
    </xf>
    <xf numFmtId="0" fontId="72" fillId="0" borderId="0" xfId="1096" applyFont="1" applyFill="1" applyBorder="1" applyAlignment="1">
      <alignment horizontal="center" vertical="center" wrapText="1"/>
    </xf>
    <xf numFmtId="0" fontId="72" fillId="0" borderId="0" xfId="1252" applyFont="1" applyFill="1" applyBorder="1" applyAlignment="1">
      <alignment horizontal="center" vertical="center" wrapText="1"/>
    </xf>
    <xf numFmtId="0" fontId="74" fillId="0" borderId="0" xfId="949" applyFont="1" applyBorder="1" applyAlignment="1">
      <alignment horizontal="center" vertical="center" wrapText="1"/>
    </xf>
    <xf numFmtId="0" fontId="74" fillId="0" borderId="0" xfId="949" applyFont="1" applyFill="1" applyBorder="1" applyAlignment="1">
      <alignment horizontal="center" vertical="center" wrapText="1"/>
    </xf>
    <xf numFmtId="0" fontId="74" fillId="0" borderId="0" xfId="949" applyFont="1" applyFill="1" applyBorder="1" applyAlignment="1">
      <alignment horizontal="center" vertical="center"/>
    </xf>
    <xf numFmtId="165" fontId="72" fillId="0" borderId="0" xfId="0" applyNumberFormat="1" applyFont="1" applyFill="1" applyBorder="1" applyAlignment="1">
      <alignment horizontal="center" vertical="center" wrapText="1"/>
    </xf>
    <xf numFmtId="202" fontId="72" fillId="51" borderId="0" xfId="0" applyNumberFormat="1" applyFont="1" applyFill="1" applyBorder="1" applyAlignment="1">
      <alignment horizontal="center" vertical="center"/>
    </xf>
    <xf numFmtId="0" fontId="72" fillId="0" borderId="0" xfId="1247" applyFont="1" applyFill="1" applyBorder="1" applyAlignment="1">
      <alignment horizontal="center" vertical="center" wrapText="1"/>
    </xf>
    <xf numFmtId="164" fontId="72" fillId="0" borderId="0" xfId="1248" applyNumberFormat="1" applyFont="1" applyFill="1" applyBorder="1" applyAlignment="1">
      <alignment horizontal="center" vertical="center" wrapText="1"/>
    </xf>
    <xf numFmtId="164" fontId="72" fillId="0" borderId="0" xfId="1247" applyNumberFormat="1" applyFont="1" applyFill="1" applyBorder="1" applyAlignment="1">
      <alignment horizontal="center" vertical="center" wrapText="1"/>
    </xf>
    <xf numFmtId="164" fontId="74" fillId="0" borderId="0" xfId="1248" applyNumberFormat="1" applyFont="1" applyFill="1" applyBorder="1" applyAlignment="1">
      <alignment horizontal="center" vertical="center" wrapText="1"/>
    </xf>
    <xf numFmtId="0" fontId="74" fillId="0" borderId="0" xfId="951" applyFont="1" applyBorder="1" applyAlignment="1">
      <alignment horizontal="center" vertical="center" wrapText="1"/>
    </xf>
    <xf numFmtId="0" fontId="72" fillId="0" borderId="0" xfId="1256" applyFont="1" applyFill="1" applyBorder="1" applyAlignment="1">
      <alignment horizontal="center" vertical="center"/>
    </xf>
    <xf numFmtId="164" fontId="72" fillId="0" borderId="0" xfId="0" applyNumberFormat="1" applyFont="1" applyFill="1" applyBorder="1" applyAlignment="1">
      <alignment horizontal="center" vertical="center" wrapText="1"/>
    </xf>
    <xf numFmtId="0" fontId="72" fillId="0" borderId="0" xfId="1248" applyFont="1" applyFill="1" applyBorder="1" applyAlignment="1">
      <alignment horizontal="left" vertical="center" wrapText="1"/>
    </xf>
    <xf numFmtId="49" fontId="72" fillId="0" borderId="0" xfId="0" applyNumberFormat="1" applyFont="1" applyBorder="1" applyAlignment="1">
      <alignment vertical="center" wrapText="1"/>
    </xf>
    <xf numFmtId="164" fontId="72" fillId="0" borderId="0" xfId="0" applyNumberFormat="1" applyFont="1" applyBorder="1" applyAlignment="1">
      <alignment vertical="center" wrapText="1"/>
    </xf>
    <xf numFmtId="0" fontId="81" fillId="0" borderId="0" xfId="1243" applyFont="1" applyFill="1" applyBorder="1" applyAlignment="1" applyProtection="1">
      <alignment vertical="center" wrapText="1"/>
    </xf>
    <xf numFmtId="49" fontId="72" fillId="0" borderId="0" xfId="0" applyNumberFormat="1" applyFont="1" applyFill="1" applyBorder="1" applyAlignment="1">
      <alignment vertical="center" wrapText="1"/>
    </xf>
    <xf numFmtId="49" fontId="74" fillId="0" borderId="0" xfId="0" applyNumberFormat="1" applyFont="1" applyBorder="1" applyAlignment="1">
      <alignment vertical="center" wrapText="1"/>
    </xf>
    <xf numFmtId="164" fontId="72" fillId="0" borderId="0" xfId="0" applyNumberFormat="1" applyFont="1" applyFill="1" applyBorder="1" applyAlignment="1">
      <alignment vertical="center"/>
    </xf>
    <xf numFmtId="164" fontId="72" fillId="0" borderId="0" xfId="0" applyNumberFormat="1" applyFont="1" applyFill="1" applyBorder="1" applyAlignment="1">
      <alignment horizontal="right" vertical="center"/>
    </xf>
    <xf numFmtId="0" fontId="72" fillId="0" borderId="0" xfId="0" applyNumberFormat="1" applyFont="1" applyFill="1" applyBorder="1" applyAlignment="1" applyProtection="1">
      <alignment vertical="center" wrapText="1"/>
      <protection locked="0"/>
    </xf>
    <xf numFmtId="0" fontId="81" fillId="0" borderId="0" xfId="1243" applyFont="1" applyFill="1" applyBorder="1" applyAlignment="1" applyProtection="1">
      <alignment horizontal="left" vertical="center" wrapText="1"/>
    </xf>
    <xf numFmtId="0" fontId="72" fillId="0" borderId="0" xfId="1238" applyFont="1" applyFill="1" applyBorder="1" applyAlignment="1">
      <alignment vertical="center" wrapText="1"/>
    </xf>
    <xf numFmtId="14" fontId="72" fillId="0" borderId="0" xfId="1238" applyNumberFormat="1" applyFont="1" applyFill="1" applyBorder="1" applyAlignment="1">
      <alignment horizontal="right" vertical="center" wrapText="1"/>
    </xf>
    <xf numFmtId="0" fontId="72" fillId="0" borderId="0" xfId="1238" applyFont="1" applyFill="1" applyBorder="1" applyAlignment="1">
      <alignment horizontal="right" vertical="center" wrapText="1"/>
    </xf>
    <xf numFmtId="164" fontId="74" fillId="0" borderId="0" xfId="0" applyNumberFormat="1" applyFont="1" applyFill="1" applyBorder="1" applyAlignment="1">
      <alignment horizontal="right" vertical="center" wrapText="1"/>
    </xf>
    <xf numFmtId="164" fontId="74" fillId="0" borderId="0" xfId="951" applyNumberFormat="1" applyFont="1" applyFill="1" applyBorder="1" applyAlignment="1">
      <alignment horizontal="right" vertical="center" wrapText="1"/>
    </xf>
    <xf numFmtId="164" fontId="74" fillId="0" borderId="0" xfId="949" applyNumberFormat="1" applyFont="1" applyFill="1" applyBorder="1" applyAlignment="1">
      <alignment horizontal="right" vertical="center" wrapText="1"/>
    </xf>
    <xf numFmtId="164" fontId="72" fillId="0" borderId="0" xfId="0" applyNumberFormat="1" applyFont="1" applyBorder="1" applyAlignment="1">
      <alignment horizontal="right" vertical="center" wrapText="1"/>
    </xf>
    <xf numFmtId="164" fontId="72" fillId="0" borderId="0" xfId="0" applyNumberFormat="1" applyFont="1" applyFill="1" applyBorder="1" applyAlignment="1">
      <alignment horizontal="right" vertical="center" wrapText="1"/>
    </xf>
    <xf numFmtId="164" fontId="74" fillId="0" borderId="0" xfId="0" applyNumberFormat="1" applyFont="1" applyBorder="1" applyAlignment="1">
      <alignment horizontal="right" vertical="center" wrapText="1"/>
    </xf>
    <xf numFmtId="164" fontId="74" fillId="0" borderId="0" xfId="0" applyNumberFormat="1" applyFont="1" applyBorder="1" applyAlignment="1">
      <alignment horizontal="right" vertical="center"/>
    </xf>
    <xf numFmtId="164" fontId="72" fillId="0" borderId="0" xfId="781" applyNumberFormat="1" applyFont="1" applyFill="1" applyBorder="1" applyAlignment="1">
      <alignment horizontal="right" vertical="center" wrapText="1"/>
    </xf>
    <xf numFmtId="164" fontId="72" fillId="0" borderId="0" xfId="1256" applyNumberFormat="1" applyFont="1" applyFill="1" applyBorder="1" applyAlignment="1">
      <alignment horizontal="right" vertical="center" wrapText="1"/>
    </xf>
    <xf numFmtId="164" fontId="72" fillId="0" borderId="0" xfId="1256" applyNumberFormat="1" applyFont="1" applyFill="1" applyBorder="1" applyAlignment="1">
      <alignment horizontal="right" vertical="center"/>
    </xf>
    <xf numFmtId="164" fontId="72" fillId="0" borderId="0" xfId="1096" applyNumberFormat="1" applyFont="1" applyFill="1" applyBorder="1" applyAlignment="1">
      <alignment horizontal="right" vertical="center"/>
    </xf>
    <xf numFmtId="0" fontId="72" fillId="0" borderId="0" xfId="0" applyFont="1" applyFill="1" applyBorder="1" applyAlignment="1">
      <alignment horizontal="right" vertical="center" wrapText="1"/>
    </xf>
    <xf numFmtId="0" fontId="72" fillId="0" borderId="0" xfId="0" applyNumberFormat="1" applyFont="1" applyFill="1" applyBorder="1" applyAlignment="1">
      <alignment horizontal="right" vertical="center" wrapText="1"/>
    </xf>
    <xf numFmtId="49" fontId="72" fillId="0" borderId="0" xfId="3" applyNumberFormat="1" applyFont="1" applyFill="1" applyBorder="1" applyAlignment="1">
      <alignment horizontal="right" vertical="center" wrapText="1"/>
    </xf>
    <xf numFmtId="0" fontId="72" fillId="0" borderId="0" xfId="0" applyFont="1" applyBorder="1" applyAlignment="1">
      <alignment horizontal="right" vertical="center" wrapText="1"/>
    </xf>
    <xf numFmtId="0" fontId="72" fillId="0" borderId="0" xfId="1238" applyNumberFormat="1" applyFont="1" applyFill="1" applyBorder="1" applyAlignment="1">
      <alignment horizontal="center" vertical="center" wrapText="1"/>
    </xf>
    <xf numFmtId="0" fontId="74" fillId="52" borderId="0" xfId="0" applyFont="1" applyFill="1" applyBorder="1" applyAlignment="1">
      <alignment horizontal="center" vertical="center" wrapText="1"/>
    </xf>
    <xf numFmtId="1" fontId="72" fillId="0" borderId="0" xfId="0" applyNumberFormat="1" applyFont="1" applyBorder="1" applyAlignment="1">
      <alignment horizontal="center" vertical="center" wrapText="1"/>
    </xf>
    <xf numFmtId="1" fontId="72" fillId="0" borderId="0" xfId="0" applyNumberFormat="1" applyFont="1" applyFill="1" applyBorder="1" applyAlignment="1">
      <alignment horizontal="center" vertical="center" wrapText="1"/>
    </xf>
    <xf numFmtId="164" fontId="74" fillId="0" borderId="0" xfId="1247" applyNumberFormat="1" applyFont="1" applyFill="1" applyBorder="1" applyAlignment="1">
      <alignment horizontal="right" vertical="center" wrapText="1"/>
    </xf>
    <xf numFmtId="49" fontId="74" fillId="0" borderId="0" xfId="0" applyNumberFormat="1" applyFont="1" applyFill="1" applyBorder="1" applyAlignment="1">
      <alignment horizontal="center" vertical="center" wrapText="1"/>
    </xf>
    <xf numFmtId="164" fontId="72" fillId="0" borderId="0" xfId="0" applyNumberFormat="1" applyFont="1" applyBorder="1" applyAlignment="1">
      <alignment horizontal="right" vertical="center"/>
    </xf>
    <xf numFmtId="0" fontId="0" fillId="0" borderId="0" xfId="0" pivotButton="1"/>
    <xf numFmtId="0" fontId="0" fillId="0" borderId="0" xfId="0" applyAlignment="1">
      <alignment horizontal="left"/>
    </xf>
    <xf numFmtId="0" fontId="0" fillId="0" borderId="0" xfId="0" applyNumberFormat="1"/>
    <xf numFmtId="205" fontId="0" fillId="0" borderId="0" xfId="0" applyNumberFormat="1"/>
    <xf numFmtId="0" fontId="72" fillId="0" borderId="0" xfId="1247" quotePrefix="1" applyNumberFormat="1" applyFont="1" applyFill="1" applyBorder="1" applyAlignment="1">
      <alignment horizontal="center" vertical="center"/>
    </xf>
    <xf numFmtId="0" fontId="72" fillId="0" borderId="0" xfId="949" applyFont="1" applyFill="1" applyBorder="1" applyAlignment="1">
      <alignment vertical="center" wrapText="1"/>
    </xf>
    <xf numFmtId="0" fontId="77" fillId="0" borderId="0" xfId="0" applyFont="1" applyAlignment="1">
      <alignment horizontal="center" wrapText="1"/>
    </xf>
    <xf numFmtId="49" fontId="72" fillId="0" borderId="0" xfId="3" applyNumberFormat="1" applyFont="1" applyFill="1" applyAlignment="1">
      <alignment horizontal="center" vertical="center" wrapText="1"/>
    </xf>
    <xf numFmtId="0" fontId="72" fillId="0" borderId="0" xfId="3" applyFont="1" applyFill="1" applyAlignment="1">
      <alignment horizontal="center" vertical="center" wrapText="1"/>
    </xf>
    <xf numFmtId="0" fontId="72" fillId="0" borderId="0" xfId="1247" applyNumberFormat="1" applyFont="1" applyFill="1" applyAlignment="1">
      <alignment horizontal="center" vertical="center"/>
    </xf>
    <xf numFmtId="164" fontId="72" fillId="0" borderId="0" xfId="1247" applyNumberFormat="1" applyFont="1" applyFill="1" applyAlignment="1">
      <alignment vertical="center" wrapText="1"/>
    </xf>
    <xf numFmtId="164" fontId="72" fillId="0" borderId="0" xfId="1247" applyNumberFormat="1" applyFont="1" applyFill="1" applyAlignment="1">
      <alignment horizontal="right" vertical="center" wrapText="1"/>
    </xf>
    <xf numFmtId="164" fontId="72" fillId="0" borderId="0" xfId="1247" applyNumberFormat="1" applyFont="1" applyFill="1" applyAlignment="1">
      <alignment horizontal="center" vertical="center" wrapText="1"/>
    </xf>
    <xf numFmtId="165" fontId="72" fillId="0" borderId="0" xfId="1249" applyNumberFormat="1" applyFont="1" applyFill="1" applyAlignment="1">
      <alignment horizontal="center" vertical="center" wrapText="1"/>
    </xf>
    <xf numFmtId="0" fontId="72" fillId="0" borderId="0" xfId="0" applyFont="1" applyFill="1" applyBorder="1" applyAlignment="1">
      <alignment horizontal="center" vertical="center"/>
    </xf>
    <xf numFmtId="0" fontId="0" fillId="0" borderId="0" xfId="0" applyAlignment="1">
      <alignment horizontal="center" wrapText="1"/>
    </xf>
    <xf numFmtId="0" fontId="0" fillId="0" borderId="0" xfId="0" applyFill="1"/>
    <xf numFmtId="204" fontId="72" fillId="0" borderId="0" xfId="0" applyNumberFormat="1" applyFont="1" applyFill="1" applyBorder="1" applyAlignment="1">
      <alignment horizontal="right" vertical="center" wrapText="1"/>
    </xf>
    <xf numFmtId="0" fontId="0" fillId="0" borderId="0" xfId="0" applyAlignment="1">
      <alignment horizontal="center"/>
    </xf>
    <xf numFmtId="0" fontId="72" fillId="0" borderId="0" xfId="1248" applyNumberFormat="1" applyFont="1" applyFill="1" applyAlignment="1" applyProtection="1">
      <alignment vertical="center" wrapText="1"/>
    </xf>
    <xf numFmtId="0" fontId="72" fillId="0" borderId="0" xfId="794" applyNumberFormat="1" applyFont="1" applyFill="1" applyAlignment="1" applyProtection="1">
      <alignment vertical="center" wrapText="1"/>
    </xf>
    <xf numFmtId="0" fontId="72" fillId="0" borderId="0" xfId="951" applyFont="1" applyBorder="1" applyAlignment="1" applyProtection="1">
      <alignment vertical="center" wrapText="1"/>
    </xf>
    <xf numFmtId="164" fontId="72" fillId="0" borderId="0" xfId="951" applyNumberFormat="1" applyFont="1" applyFill="1" applyBorder="1" applyAlignment="1">
      <alignment horizontal="right" vertical="center" wrapText="1"/>
    </xf>
    <xf numFmtId="164" fontId="72" fillId="0" borderId="0" xfId="949" applyNumberFormat="1" applyFont="1" applyFill="1" applyBorder="1" applyAlignment="1">
      <alignment horizontal="right" vertical="center" wrapText="1"/>
    </xf>
    <xf numFmtId="0" fontId="72" fillId="0" borderId="0" xfId="949" applyFont="1" applyFill="1" applyBorder="1" applyAlignment="1">
      <alignment horizontal="center" vertical="center" wrapText="1"/>
    </xf>
    <xf numFmtId="0" fontId="72" fillId="0" borderId="0" xfId="1248" quotePrefix="1" applyNumberFormat="1" applyFont="1" applyFill="1" applyBorder="1" applyAlignment="1" applyProtection="1">
      <alignment vertical="center" wrapText="1"/>
    </xf>
    <xf numFmtId="164" fontId="72" fillId="0" borderId="0" xfId="1248" applyNumberFormat="1" applyFont="1" applyFill="1" applyBorder="1" applyAlignment="1">
      <alignment horizontal="right" vertical="center" wrapText="1"/>
    </xf>
    <xf numFmtId="0" fontId="82" fillId="0" borderId="0" xfId="792" applyFont="1"/>
    <xf numFmtId="0" fontId="82" fillId="0" borderId="0" xfId="792" applyFont="1" applyFill="1"/>
    <xf numFmtId="1" fontId="82" fillId="0" borderId="0" xfId="792" applyNumberFormat="1" applyFont="1"/>
    <xf numFmtId="0" fontId="82" fillId="48" borderId="0" xfId="792" applyFont="1" applyFill="1"/>
    <xf numFmtId="169" fontId="82" fillId="0" borderId="0" xfId="0" applyNumberFormat="1" applyFont="1" applyBorder="1"/>
    <xf numFmtId="0" fontId="82" fillId="47" borderId="0" xfId="793" applyFont="1" applyFill="1"/>
    <xf numFmtId="0" fontId="82" fillId="46" borderId="0" xfId="793" applyFont="1" applyFill="1"/>
    <xf numFmtId="0" fontId="82" fillId="0" borderId="0" xfId="1242" applyFont="1"/>
    <xf numFmtId="167" fontId="82" fillId="0" borderId="0" xfId="1242" applyNumberFormat="1" applyFont="1"/>
    <xf numFmtId="0" fontId="82" fillId="45" borderId="0" xfId="793" applyFont="1" applyFill="1"/>
    <xf numFmtId="0" fontId="82" fillId="44" borderId="0" xfId="793" applyFont="1" applyFill="1"/>
    <xf numFmtId="1" fontId="83" fillId="43" borderId="24" xfId="793" applyNumberFormat="1" applyFont="1" applyFill="1" applyBorder="1"/>
    <xf numFmtId="0" fontId="82" fillId="0" borderId="0" xfId="793" applyFont="1" applyFill="1"/>
    <xf numFmtId="0" fontId="82" fillId="0" borderId="0" xfId="793" applyFont="1"/>
    <xf numFmtId="0" fontId="84" fillId="0" borderId="0" xfId="792" applyFont="1"/>
    <xf numFmtId="3" fontId="82" fillId="0" borderId="0" xfId="792" applyNumberFormat="1" applyFont="1"/>
    <xf numFmtId="0" fontId="82" fillId="0" borderId="0" xfId="0" applyFont="1" applyAlignment="1">
      <alignment horizontal="left"/>
    </xf>
    <xf numFmtId="169" fontId="82" fillId="0" borderId="0" xfId="0" applyNumberFormat="1" applyFont="1" applyAlignment="1">
      <alignment horizontal="right"/>
    </xf>
    <xf numFmtId="2" fontId="82" fillId="0" borderId="0" xfId="0" applyNumberFormat="1" applyFont="1" applyAlignment="1">
      <alignment horizontal="right"/>
    </xf>
    <xf numFmtId="3" fontId="82" fillId="0" borderId="0" xfId="0" applyNumberFormat="1" applyFont="1" applyAlignment="1">
      <alignment horizontal="right"/>
    </xf>
    <xf numFmtId="0" fontId="82" fillId="0" borderId="0" xfId="0" applyFont="1"/>
    <xf numFmtId="0" fontId="82" fillId="0" borderId="0" xfId="0" applyFont="1" applyBorder="1" applyAlignment="1">
      <alignment horizontal="left" vertical="top" wrapText="1"/>
    </xf>
    <xf numFmtId="0" fontId="82" fillId="0" borderId="0" xfId="0" applyFont="1" applyBorder="1" applyAlignment="1">
      <alignment vertical="top"/>
    </xf>
    <xf numFmtId="2" fontId="82" fillId="0" borderId="0" xfId="0" applyNumberFormat="1" applyFont="1" applyBorder="1" applyAlignment="1">
      <alignment horizontal="left" vertical="top" wrapText="1"/>
    </xf>
    <xf numFmtId="3" fontId="82" fillId="0" borderId="0" xfId="0" applyNumberFormat="1" applyFont="1" applyBorder="1" applyAlignment="1">
      <alignment horizontal="left" vertical="top" wrapText="1"/>
    </xf>
    <xf numFmtId="3" fontId="82" fillId="0" borderId="0" xfId="0" applyNumberFormat="1" applyFont="1" applyAlignment="1">
      <alignment horizontal="left" vertical="top" wrapText="1"/>
    </xf>
    <xf numFmtId="0" fontId="85" fillId="0" borderId="0" xfId="0" quotePrefix="1" applyFont="1" applyBorder="1" applyAlignment="1">
      <alignment horizontal="right" vertical="top"/>
    </xf>
    <xf numFmtId="169" fontId="82" fillId="0" borderId="0" xfId="0" applyNumberFormat="1" applyFont="1"/>
    <xf numFmtId="2" fontId="82" fillId="0" borderId="0" xfId="0" applyNumberFormat="1" applyFont="1"/>
    <xf numFmtId="3" fontId="82" fillId="0" borderId="0" xfId="0" applyNumberFormat="1" applyFont="1"/>
    <xf numFmtId="169" fontId="1" fillId="0" borderId="0" xfId="0" applyNumberFormat="1" applyFont="1" applyBorder="1" applyAlignment="1">
      <alignment horizontal="left" vertical="top" wrapText="1"/>
    </xf>
    <xf numFmtId="0" fontId="1" fillId="0" borderId="0" xfId="0" applyFont="1" applyAlignment="1">
      <alignment horizontal="left" vertical="top" wrapText="1"/>
    </xf>
    <xf numFmtId="169" fontId="1" fillId="0" borderId="0" xfId="0" applyNumberFormat="1" applyFont="1" applyAlignment="1">
      <alignment horizontal="left" vertical="top" wrapText="1"/>
    </xf>
    <xf numFmtId="2" fontId="1" fillId="0" borderId="0" xfId="0" applyNumberFormat="1" applyFont="1" applyAlignment="1">
      <alignment horizontal="left" vertical="top" wrapText="1"/>
    </xf>
    <xf numFmtId="0" fontId="72" fillId="0" borderId="0" xfId="0" applyNumberFormat="1" applyFont="1" applyBorder="1" applyAlignment="1">
      <alignment vertical="center" wrapText="1"/>
    </xf>
    <xf numFmtId="49" fontId="87" fillId="0" borderId="0" xfId="0" applyNumberFormat="1" applyFont="1" applyFill="1" applyBorder="1" applyAlignment="1">
      <alignment horizontal="left" vertical="top" wrapText="1"/>
    </xf>
    <xf numFmtId="0" fontId="82" fillId="0" borderId="0" xfId="0" applyNumberFormat="1" applyFont="1" applyFill="1" applyBorder="1" applyAlignment="1">
      <alignment horizontal="left" vertical="top" wrapText="1"/>
    </xf>
    <xf numFmtId="0" fontId="82" fillId="0" borderId="0" xfId="0" applyFont="1" applyAlignment="1">
      <alignment horizontal="left" vertical="top" wrapText="1"/>
    </xf>
    <xf numFmtId="169" fontId="86" fillId="0" borderId="0" xfId="709" applyNumberFormat="1" applyFont="1" applyAlignment="1" applyProtection="1">
      <alignment horizontal="left" vertical="top" wrapText="1"/>
    </xf>
    <xf numFmtId="0" fontId="82" fillId="0" borderId="0" xfId="0" applyFont="1" applyBorder="1" applyAlignment="1">
      <alignment horizontal="left" vertical="top" wrapText="1"/>
    </xf>
    <xf numFmtId="0" fontId="86" fillId="0" borderId="0" xfId="709" applyFont="1" applyBorder="1" applyAlignment="1" applyProtection="1">
      <alignment horizontal="left" vertical="top" wrapText="1"/>
    </xf>
    <xf numFmtId="0" fontId="1" fillId="0" borderId="0" xfId="0" applyFont="1" applyAlignment="1">
      <alignment horizontal="left" vertical="top" wrapText="1"/>
    </xf>
    <xf numFmtId="0" fontId="87" fillId="0" borderId="0" xfId="0" applyFont="1" applyBorder="1" applyAlignment="1">
      <alignment horizontal="left" vertical="top" wrapText="1"/>
    </xf>
    <xf numFmtId="0" fontId="88" fillId="0" borderId="0" xfId="0" applyFont="1"/>
    <xf numFmtId="0" fontId="77" fillId="0" borderId="0" xfId="0" pivotButton="1" applyFont="1" applyAlignment="1">
      <alignment horizontal="center" wrapText="1"/>
    </xf>
    <xf numFmtId="0" fontId="77" fillId="0" borderId="0" xfId="0" applyFont="1" applyAlignment="1">
      <alignment horizontal="center"/>
    </xf>
    <xf numFmtId="0" fontId="84" fillId="0" borderId="0" xfId="0" quotePrefix="1" applyFont="1" applyAlignment="1"/>
    <xf numFmtId="0" fontId="72" fillId="0" borderId="0" xfId="0" applyNumberFormat="1" applyFont="1" applyFill="1" applyBorder="1" applyAlignment="1" applyProtection="1">
      <alignment horizontal="left" vertical="center" wrapText="1"/>
    </xf>
    <xf numFmtId="203" fontId="72" fillId="0" borderId="0" xfId="781" applyNumberFormat="1" applyFont="1" applyFill="1" applyBorder="1" applyAlignment="1">
      <alignment horizontal="left" vertical="center" wrapText="1"/>
    </xf>
    <xf numFmtId="0" fontId="72" fillId="0" borderId="0" xfId="0" applyFont="1" applyFill="1" applyBorder="1" applyAlignment="1" applyProtection="1">
      <alignment vertical="center" wrapText="1"/>
    </xf>
    <xf numFmtId="0" fontId="72" fillId="0" borderId="0" xfId="0" applyNumberFormat="1" applyFont="1" applyFill="1" applyBorder="1" applyAlignment="1" applyProtection="1">
      <alignment horizontal="center" vertical="center" wrapText="1"/>
    </xf>
    <xf numFmtId="49" fontId="72" fillId="0" borderId="0" xfId="0" applyNumberFormat="1" applyFont="1" applyFill="1" applyBorder="1" applyAlignment="1" applyProtection="1">
      <alignment vertical="center" wrapText="1"/>
    </xf>
    <xf numFmtId="164" fontId="72" fillId="0" borderId="0" xfId="0" applyNumberFormat="1" applyFont="1" applyFill="1" applyBorder="1" applyAlignment="1" applyProtection="1">
      <alignment vertical="center" wrapText="1"/>
    </xf>
    <xf numFmtId="164" fontId="72" fillId="0" borderId="0" xfId="0" applyNumberFormat="1" applyFont="1" applyFill="1" applyBorder="1" applyAlignment="1" applyProtection="1">
      <alignment horizontal="right" vertical="center" wrapText="1"/>
    </xf>
    <xf numFmtId="165" fontId="72" fillId="0" borderId="0" xfId="0" applyNumberFormat="1" applyFont="1" applyFill="1" applyBorder="1" applyAlignment="1" applyProtection="1">
      <alignment horizontal="center" vertical="center" wrapText="1"/>
    </xf>
    <xf numFmtId="0" fontId="72" fillId="51" borderId="0" xfId="0" applyFont="1" applyFill="1" applyBorder="1" applyAlignment="1">
      <alignment horizontal="center" vertical="center" wrapText="1"/>
    </xf>
    <xf numFmtId="0" fontId="72" fillId="0" borderId="0" xfId="0" applyFont="1" applyAlignment="1">
      <alignment vertical="center" wrapText="1"/>
    </xf>
    <xf numFmtId="0" fontId="72" fillId="0" borderId="0" xfId="0" applyFont="1" applyAlignment="1">
      <alignment horizontal="center" vertical="center"/>
    </xf>
    <xf numFmtId="0" fontId="72" fillId="0" borderId="0" xfId="0" applyFont="1" applyAlignment="1">
      <alignment horizontal="left" vertical="center" wrapText="1"/>
    </xf>
    <xf numFmtId="0" fontId="72" fillId="0" borderId="0" xfId="0" applyFont="1" applyAlignment="1">
      <alignment vertical="center"/>
    </xf>
    <xf numFmtId="0" fontId="72" fillId="0" borderId="0" xfId="0" applyFont="1" applyAlignment="1">
      <alignment horizontal="center" vertical="center" wrapText="1"/>
    </xf>
    <xf numFmtId="0" fontId="74" fillId="51" borderId="0" xfId="949" applyFont="1" applyFill="1" applyBorder="1" applyAlignment="1">
      <alignment horizontal="center" vertical="center" wrapText="1"/>
    </xf>
    <xf numFmtId="0" fontId="72" fillId="51" borderId="0" xfId="949" applyFont="1" applyFill="1" applyBorder="1" applyAlignment="1">
      <alignment horizontal="center" vertical="center" wrapText="1"/>
    </xf>
    <xf numFmtId="0" fontId="72" fillId="0" borderId="0" xfId="0" applyFont="1" applyFill="1" applyAlignment="1">
      <alignment vertical="center"/>
    </xf>
    <xf numFmtId="164" fontId="72" fillId="53" borderId="0" xfId="1247" applyNumberFormat="1" applyFont="1" applyFill="1" applyBorder="1" applyAlignment="1">
      <alignment horizontal="right" vertical="center" wrapText="1"/>
    </xf>
    <xf numFmtId="164" fontId="72" fillId="53" borderId="0" xfId="1247" applyNumberFormat="1" applyFont="1" applyFill="1" applyAlignment="1">
      <alignment horizontal="right" vertical="center" wrapText="1"/>
    </xf>
    <xf numFmtId="164" fontId="74" fillId="53" borderId="0" xfId="949" applyNumberFormat="1" applyFont="1" applyFill="1" applyBorder="1" applyAlignment="1">
      <alignment horizontal="right" vertical="center" wrapText="1"/>
    </xf>
    <xf numFmtId="164" fontId="72" fillId="53" borderId="0" xfId="0" applyNumberFormat="1" applyFont="1" applyFill="1" applyBorder="1" applyAlignment="1">
      <alignment horizontal="right" vertical="center" wrapText="1"/>
    </xf>
    <xf numFmtId="164" fontId="72" fillId="53" borderId="0" xfId="949" applyNumberFormat="1" applyFont="1" applyFill="1" applyBorder="1" applyAlignment="1">
      <alignment horizontal="right" vertical="center" wrapText="1"/>
    </xf>
    <xf numFmtId="202" fontId="74" fillId="53" borderId="0" xfId="951" applyNumberFormat="1" applyFont="1" applyFill="1" applyBorder="1" applyAlignment="1">
      <alignment horizontal="right" vertical="center" wrapText="1"/>
    </xf>
    <xf numFmtId="164" fontId="72" fillId="53" borderId="0" xfId="781" applyNumberFormat="1" applyFont="1" applyFill="1" applyBorder="1" applyAlignment="1">
      <alignment horizontal="right" vertical="center" wrapText="1"/>
    </xf>
    <xf numFmtId="164" fontId="72" fillId="53" borderId="0" xfId="3" applyNumberFormat="1" applyFont="1" applyFill="1" applyBorder="1" applyAlignment="1">
      <alignment horizontal="right" vertical="center" wrapText="1"/>
    </xf>
    <xf numFmtId="164" fontId="72" fillId="53" borderId="0" xfId="0" applyNumberFormat="1" applyFont="1" applyFill="1" applyBorder="1" applyAlignment="1">
      <alignment horizontal="right" vertical="center"/>
    </xf>
    <xf numFmtId="164" fontId="72" fillId="53" borderId="0" xfId="1256" applyNumberFormat="1" applyFont="1" applyFill="1" applyBorder="1" applyAlignment="1">
      <alignment horizontal="right" vertical="center" wrapText="1"/>
    </xf>
    <xf numFmtId="164" fontId="72" fillId="53" borderId="0" xfId="1256" applyNumberFormat="1" applyFont="1" applyFill="1" applyBorder="1" applyAlignment="1">
      <alignment horizontal="right" vertical="center"/>
    </xf>
    <xf numFmtId="164" fontId="72" fillId="53" borderId="0" xfId="1096" applyNumberFormat="1" applyFont="1" applyFill="1" applyBorder="1" applyAlignment="1">
      <alignment horizontal="right" vertical="center" wrapText="1"/>
    </xf>
    <xf numFmtId="164" fontId="72" fillId="53" borderId="0" xfId="1247" applyNumberFormat="1" applyFont="1" applyFill="1" applyBorder="1" applyAlignment="1">
      <alignment horizontal="right" vertical="center"/>
    </xf>
    <xf numFmtId="164" fontId="72" fillId="53" borderId="0" xfId="1247" applyNumberFormat="1" applyFont="1" applyFill="1" applyBorder="1" applyAlignment="1">
      <alignment vertical="center" wrapText="1"/>
    </xf>
    <xf numFmtId="0" fontId="0" fillId="0" borderId="0" xfId="0" applyFont="1" applyFill="1" applyBorder="1"/>
    <xf numFmtId="0" fontId="0" fillId="0" borderId="0" xfId="0" applyFont="1" applyBorder="1"/>
    <xf numFmtId="0" fontId="0" fillId="0" borderId="0" xfId="0" applyFont="1" applyBorder="1" applyAlignment="1">
      <alignment wrapText="1"/>
    </xf>
    <xf numFmtId="0" fontId="0" fillId="0" borderId="0" xfId="0" applyFont="1" applyFill="1" applyBorder="1" applyAlignment="1">
      <alignment wrapText="1"/>
    </xf>
    <xf numFmtId="0" fontId="77" fillId="0" borderId="0" xfId="0" applyFont="1" applyFill="1" applyBorder="1" applyAlignment="1">
      <alignment vertical="top" wrapText="1"/>
    </xf>
    <xf numFmtId="0" fontId="89" fillId="0" borderId="0" xfId="0" applyFont="1" applyFill="1" applyBorder="1" applyAlignment="1">
      <alignment vertical="top" wrapText="1"/>
    </xf>
    <xf numFmtId="0" fontId="89" fillId="0" borderId="0" xfId="0" applyNumberFormat="1" applyFont="1" applyFill="1" applyBorder="1" applyAlignment="1">
      <alignment vertical="top" wrapText="1"/>
    </xf>
    <xf numFmtId="0" fontId="0" fillId="0" borderId="0" xfId="0" applyFont="1" applyFill="1" applyBorder="1" applyAlignment="1">
      <alignment vertical="top" wrapText="1"/>
    </xf>
    <xf numFmtId="0" fontId="77" fillId="0" borderId="0" xfId="0" applyFont="1" applyFill="1" applyBorder="1" applyAlignment="1">
      <alignment vertical="top"/>
    </xf>
    <xf numFmtId="0" fontId="90" fillId="0" borderId="0" xfId="0" applyFont="1" applyFill="1" applyBorder="1" applyAlignment="1">
      <alignment vertical="top" wrapText="1"/>
    </xf>
    <xf numFmtId="0" fontId="72" fillId="53" borderId="0" xfId="0" applyFont="1" applyFill="1" applyAlignment="1">
      <alignment vertical="center"/>
    </xf>
    <xf numFmtId="169" fontId="72" fillId="0" borderId="0" xfId="0" applyNumberFormat="1" applyFont="1" applyFill="1" applyAlignment="1">
      <alignment vertical="center"/>
    </xf>
    <xf numFmtId="0" fontId="72" fillId="0" borderId="0" xfId="0" applyNumberFormat="1" applyFont="1" applyFill="1" applyAlignment="1">
      <alignment vertical="center" wrapText="1"/>
    </xf>
    <xf numFmtId="0" fontId="91" fillId="0" borderId="0" xfId="0" applyFont="1" applyAlignment="1">
      <alignment horizontal="center" vertical="center" wrapText="1"/>
    </xf>
    <xf numFmtId="0" fontId="68" fillId="0" borderId="0" xfId="0" applyFont="1" applyAlignment="1">
      <alignment horizontal="center" vertical="center" wrapText="1"/>
    </xf>
    <xf numFmtId="0" fontId="94" fillId="0" borderId="0" xfId="0" applyFont="1" applyAlignment="1">
      <alignment horizontal="center" vertical="center"/>
    </xf>
    <xf numFmtId="0" fontId="88" fillId="0" borderId="0" xfId="0" applyFont="1" applyAlignment="1">
      <alignment vertical="center"/>
    </xf>
    <xf numFmtId="0" fontId="0" fillId="0" borderId="0" xfId="0" applyFont="1" applyBorder="1" applyAlignment="1">
      <alignment vertical="center"/>
    </xf>
    <xf numFmtId="0" fontId="91" fillId="0" borderId="0" xfId="0" applyFont="1" applyAlignment="1">
      <alignment horizontal="center" wrapText="1"/>
    </xf>
    <xf numFmtId="0" fontId="93" fillId="0" borderId="0" xfId="0" applyFont="1" applyAlignment="1">
      <alignment horizontal="center" vertical="top" wrapText="1"/>
    </xf>
    <xf numFmtId="0" fontId="68" fillId="0" borderId="0" xfId="0" applyFont="1" applyAlignment="1">
      <alignment horizontal="center" vertical="top" wrapText="1"/>
    </xf>
    <xf numFmtId="0" fontId="72" fillId="42" borderId="0" xfId="0" applyFont="1" applyFill="1" applyBorder="1" applyAlignment="1">
      <alignment horizontal="center" vertical="center" wrapText="1"/>
    </xf>
    <xf numFmtId="202" fontId="95" fillId="0" borderId="0" xfId="1243" applyNumberFormat="1" applyFont="1" applyFill="1" applyAlignment="1" applyProtection="1">
      <alignment horizontal="center" vertical="center" wrapText="1"/>
    </xf>
    <xf numFmtId="0" fontId="72" fillId="0" borderId="0" xfId="951" applyNumberFormat="1" applyFont="1" applyFill="1" applyBorder="1" applyAlignment="1">
      <alignment horizontal="center" vertical="center" wrapText="1"/>
    </xf>
    <xf numFmtId="0" fontId="72" fillId="0" borderId="0" xfId="0" applyNumberFormat="1" applyFont="1" applyBorder="1" applyAlignment="1">
      <alignment horizontal="center" vertical="center" wrapText="1"/>
    </xf>
    <xf numFmtId="0" fontId="72" fillId="0" borderId="0" xfId="0" applyNumberFormat="1" applyFont="1" applyAlignment="1">
      <alignment horizontal="center" vertical="center"/>
    </xf>
    <xf numFmtId="165" fontId="84" fillId="42" borderId="0" xfId="0" applyNumberFormat="1" applyFont="1" applyFill="1" applyBorder="1" applyAlignment="1">
      <alignment horizontal="center" vertical="center" wrapText="1"/>
    </xf>
    <xf numFmtId="165" fontId="82" fillId="0" borderId="0" xfId="1249" applyNumberFormat="1" applyFont="1" applyFill="1" applyBorder="1" applyAlignment="1">
      <alignment horizontal="center" vertical="center" wrapText="1"/>
    </xf>
    <xf numFmtId="165" fontId="96" fillId="0" borderId="0" xfId="1243" applyNumberFormat="1" applyFont="1" applyFill="1" applyBorder="1" applyAlignment="1" applyProtection="1">
      <alignment horizontal="center" vertical="center" wrapText="1"/>
    </xf>
    <xf numFmtId="202" fontId="96" fillId="0" borderId="0" xfId="1243" applyNumberFormat="1" applyFont="1" applyFill="1" applyBorder="1" applyAlignment="1" applyProtection="1">
      <alignment horizontal="center" vertical="center" wrapText="1"/>
    </xf>
    <xf numFmtId="202" fontId="84" fillId="0" borderId="0" xfId="1249" applyNumberFormat="1" applyFont="1" applyFill="1" applyBorder="1" applyAlignment="1">
      <alignment horizontal="center" vertical="center" wrapText="1"/>
    </xf>
    <xf numFmtId="0" fontId="96" fillId="0" borderId="0" xfId="1243" applyFont="1" applyFill="1" applyBorder="1" applyAlignment="1" applyProtection="1">
      <alignment horizontal="center" vertical="center" wrapText="1"/>
    </xf>
    <xf numFmtId="165" fontId="84" fillId="0" borderId="0" xfId="1249" applyNumberFormat="1" applyFont="1" applyFill="1" applyBorder="1" applyAlignment="1">
      <alignment horizontal="center" vertical="center" wrapText="1"/>
    </xf>
    <xf numFmtId="0" fontId="96" fillId="0" borderId="0" xfId="1243" applyFont="1" applyFill="1" applyBorder="1" applyAlignment="1" applyProtection="1">
      <alignment horizontal="center" vertical="center"/>
    </xf>
    <xf numFmtId="0" fontId="96" fillId="0" borderId="0" xfId="708" applyFont="1" applyAlignment="1" applyProtection="1">
      <alignment horizontal="center" vertical="center"/>
    </xf>
    <xf numFmtId="0" fontId="96" fillId="0" borderId="0" xfId="1243" applyFont="1" applyAlignment="1" applyProtection="1">
      <alignment horizontal="center" vertical="center"/>
    </xf>
    <xf numFmtId="0" fontId="96" fillId="0" borderId="0" xfId="1243" applyFont="1" applyBorder="1" applyAlignment="1" applyProtection="1">
      <alignment horizontal="center" vertical="center" wrapText="1"/>
    </xf>
    <xf numFmtId="0" fontId="96" fillId="0" borderId="0" xfId="1243" applyFont="1" applyBorder="1" applyAlignment="1" applyProtection="1">
      <alignment horizontal="center" vertical="center"/>
    </xf>
    <xf numFmtId="49" fontId="82" fillId="0" borderId="0" xfId="1249" applyNumberFormat="1" applyFont="1" applyFill="1" applyBorder="1" applyAlignment="1">
      <alignment horizontal="center" vertical="center" wrapText="1"/>
    </xf>
    <xf numFmtId="0" fontId="82" fillId="0" borderId="0" xfId="1096" applyFont="1" applyFill="1" applyBorder="1" applyAlignment="1">
      <alignment horizontal="center" vertical="center" wrapText="1"/>
    </xf>
    <xf numFmtId="2" fontId="96" fillId="0" borderId="0" xfId="1243" applyNumberFormat="1" applyFont="1" applyFill="1" applyBorder="1" applyAlignment="1" applyProtection="1">
      <alignment horizontal="center" vertical="center" wrapText="1"/>
    </xf>
    <xf numFmtId="202" fontId="82" fillId="0" borderId="0" xfId="1249" applyNumberFormat="1" applyFont="1" applyFill="1" applyBorder="1" applyAlignment="1">
      <alignment horizontal="center" vertical="center" wrapText="1"/>
    </xf>
    <xf numFmtId="202" fontId="82" fillId="0" borderId="0" xfId="1249" applyNumberFormat="1" applyFont="1" applyFill="1" applyAlignment="1">
      <alignment horizontal="center" vertical="center" wrapText="1"/>
    </xf>
    <xf numFmtId="0" fontId="82" fillId="0" borderId="0" xfId="1256" applyFont="1" applyFill="1" applyBorder="1" applyAlignment="1">
      <alignment horizontal="center" vertical="center" wrapText="1"/>
    </xf>
    <xf numFmtId="0" fontId="82" fillId="0" borderId="0" xfId="1248" applyNumberFormat="1" applyFont="1" applyFill="1" applyBorder="1" applyAlignment="1" applyProtection="1">
      <alignment horizontal="center" vertical="center" wrapText="1"/>
    </xf>
    <xf numFmtId="0" fontId="82" fillId="0" borderId="0" xfId="1248" applyNumberFormat="1" applyFont="1" applyFill="1" applyAlignment="1" applyProtection="1">
      <alignment horizontal="center" vertical="center" wrapText="1"/>
    </xf>
    <xf numFmtId="0" fontId="82" fillId="0" borderId="0" xfId="0" applyFont="1" applyAlignment="1">
      <alignment horizontal="center" vertical="center"/>
    </xf>
    <xf numFmtId="165" fontId="82" fillId="0" borderId="0" xfId="0" applyNumberFormat="1" applyFont="1" applyFill="1" applyBorder="1" applyAlignment="1">
      <alignment horizontal="center" vertical="center" wrapText="1"/>
    </xf>
    <xf numFmtId="165" fontId="82" fillId="0" borderId="0" xfId="0" applyNumberFormat="1" applyFont="1" applyFill="1" applyBorder="1" applyAlignment="1" applyProtection="1">
      <alignment horizontal="left" vertical="center" wrapText="1"/>
    </xf>
    <xf numFmtId="0" fontId="82" fillId="0" borderId="0" xfId="0" applyFont="1" applyFill="1" applyBorder="1" applyAlignment="1">
      <alignment vertical="center" wrapText="1"/>
    </xf>
    <xf numFmtId="0" fontId="95" fillId="0" borderId="0" xfId="1243" applyFont="1" applyFill="1" applyBorder="1" applyAlignment="1" applyProtection="1">
      <alignment horizontal="center" vertical="center" wrapText="1"/>
    </xf>
    <xf numFmtId="165" fontId="95" fillId="0" borderId="0" xfId="1243" applyNumberFormat="1" applyFont="1" applyFill="1" applyBorder="1" applyAlignment="1" applyProtection="1">
      <alignment horizontal="center" vertical="center" wrapText="1"/>
    </xf>
    <xf numFmtId="0" fontId="84" fillId="0" borderId="0" xfId="0" applyFont="1" applyAlignment="1">
      <alignment horizontal="left"/>
    </xf>
  </cellXfs>
  <cellStyles count="1259">
    <cellStyle name="-" xfId="1"/>
    <cellStyle name=" 1" xfId="2"/>
    <cellStyle name="%" xfId="3"/>
    <cellStyle name="% 2" xfId="950"/>
    <cellStyle name="% 2 2" xfId="1096"/>
    <cellStyle name="% 3" xfId="1247"/>
    <cellStyle name="%_Project Details" xfId="1258"/>
    <cellStyle name="=C:\WINNT35\SYSTEM32\COMMAND.COM" xfId="4"/>
    <cellStyle name="0dp" xfId="5"/>
    <cellStyle name="1dp" xfId="6"/>
    <cellStyle name="20% - Accent1 10" xfId="7"/>
    <cellStyle name="20% - Accent1 10 2" xfId="955"/>
    <cellStyle name="20% - Accent1 10 3" xfId="1098"/>
    <cellStyle name="20% - Accent1 11" xfId="8"/>
    <cellStyle name="20% - Accent1 11 2" xfId="956"/>
    <cellStyle name="20% - Accent1 11 3" xfId="1099"/>
    <cellStyle name="20% - Accent1 2" xfId="9"/>
    <cellStyle name="20% - Accent1 2 10" xfId="10"/>
    <cellStyle name="20% - Accent1 2 11" xfId="11"/>
    <cellStyle name="20% - Accent1 2 12" xfId="957"/>
    <cellStyle name="20% - Accent1 2 13" xfId="1100"/>
    <cellStyle name="20% - Accent1 2 2" xfId="12"/>
    <cellStyle name="20% - Accent1 2 3" xfId="13"/>
    <cellStyle name="20% - Accent1 2 4" xfId="14"/>
    <cellStyle name="20% - Accent1 2 5" xfId="15"/>
    <cellStyle name="20% - Accent1 2 6" xfId="16"/>
    <cellStyle name="20% - Accent1 2 7" xfId="17"/>
    <cellStyle name="20% - Accent1 2 8" xfId="18"/>
    <cellStyle name="20% - Accent1 2 9" xfId="19"/>
    <cellStyle name="20% - Accent1 3" xfId="20"/>
    <cellStyle name="20% - Accent1 3 2" xfId="958"/>
    <cellStyle name="20% - Accent1 3 3" xfId="1101"/>
    <cellStyle name="20% - Accent1 4" xfId="21"/>
    <cellStyle name="20% - Accent1 4 2" xfId="959"/>
    <cellStyle name="20% - Accent1 4 3" xfId="1102"/>
    <cellStyle name="20% - Accent1 5" xfId="22"/>
    <cellStyle name="20% - Accent1 5 2" xfId="960"/>
    <cellStyle name="20% - Accent1 5 3" xfId="1103"/>
    <cellStyle name="20% - Accent1 6" xfId="23"/>
    <cellStyle name="20% - Accent1 6 2" xfId="961"/>
    <cellStyle name="20% - Accent1 6 3" xfId="1104"/>
    <cellStyle name="20% - Accent1 7" xfId="24"/>
    <cellStyle name="20% - Accent1 7 2" xfId="962"/>
    <cellStyle name="20% - Accent1 7 3" xfId="1105"/>
    <cellStyle name="20% - Accent1 8" xfId="25"/>
    <cellStyle name="20% - Accent1 8 2" xfId="963"/>
    <cellStyle name="20% - Accent1 8 3" xfId="1106"/>
    <cellStyle name="20% - Accent1 9" xfId="26"/>
    <cellStyle name="20% - Accent1 9 2" xfId="964"/>
    <cellStyle name="20% - Accent1 9 3" xfId="1107"/>
    <cellStyle name="20% - Accent2 10" xfId="27"/>
    <cellStyle name="20% - Accent2 10 2" xfId="965"/>
    <cellStyle name="20% - Accent2 10 3" xfId="1108"/>
    <cellStyle name="20% - Accent2 11" xfId="28"/>
    <cellStyle name="20% - Accent2 11 2" xfId="966"/>
    <cellStyle name="20% - Accent2 11 3" xfId="1109"/>
    <cellStyle name="20% - Accent2 2" xfId="29"/>
    <cellStyle name="20% - Accent2 2 10" xfId="30"/>
    <cellStyle name="20% - Accent2 2 11" xfId="31"/>
    <cellStyle name="20% - Accent2 2 12" xfId="967"/>
    <cellStyle name="20% - Accent2 2 13" xfId="1110"/>
    <cellStyle name="20% - Accent2 2 2" xfId="32"/>
    <cellStyle name="20% - Accent2 2 3" xfId="33"/>
    <cellStyle name="20% - Accent2 2 4" xfId="34"/>
    <cellStyle name="20% - Accent2 2 5" xfId="35"/>
    <cellStyle name="20% - Accent2 2 6" xfId="36"/>
    <cellStyle name="20% - Accent2 2 7" xfId="37"/>
    <cellStyle name="20% - Accent2 2 8" xfId="38"/>
    <cellStyle name="20% - Accent2 2 9" xfId="39"/>
    <cellStyle name="20% - Accent2 3" xfId="40"/>
    <cellStyle name="20% - Accent2 3 2" xfId="968"/>
    <cellStyle name="20% - Accent2 3 3" xfId="1111"/>
    <cellStyle name="20% - Accent2 4" xfId="41"/>
    <cellStyle name="20% - Accent2 4 2" xfId="969"/>
    <cellStyle name="20% - Accent2 4 3" xfId="1112"/>
    <cellStyle name="20% - Accent2 5" xfId="42"/>
    <cellStyle name="20% - Accent2 5 2" xfId="970"/>
    <cellStyle name="20% - Accent2 5 3" xfId="1113"/>
    <cellStyle name="20% - Accent2 6" xfId="43"/>
    <cellStyle name="20% - Accent2 6 2" xfId="971"/>
    <cellStyle name="20% - Accent2 6 3" xfId="1114"/>
    <cellStyle name="20% - Accent2 7" xfId="44"/>
    <cellStyle name="20% - Accent2 7 2" xfId="972"/>
    <cellStyle name="20% - Accent2 7 3" xfId="1115"/>
    <cellStyle name="20% - Accent2 8" xfId="45"/>
    <cellStyle name="20% - Accent2 8 2" xfId="973"/>
    <cellStyle name="20% - Accent2 8 3" xfId="1116"/>
    <cellStyle name="20% - Accent2 9" xfId="46"/>
    <cellStyle name="20% - Accent2 9 2" xfId="974"/>
    <cellStyle name="20% - Accent2 9 3" xfId="1117"/>
    <cellStyle name="20% - Accent3 10" xfId="47"/>
    <cellStyle name="20% - Accent3 10 2" xfId="975"/>
    <cellStyle name="20% - Accent3 10 3" xfId="1118"/>
    <cellStyle name="20% - Accent3 11" xfId="48"/>
    <cellStyle name="20% - Accent3 11 2" xfId="976"/>
    <cellStyle name="20% - Accent3 11 3" xfId="1119"/>
    <cellStyle name="20% - Accent3 2" xfId="49"/>
    <cellStyle name="20% - Accent3 2 10" xfId="50"/>
    <cellStyle name="20% - Accent3 2 11" xfId="51"/>
    <cellStyle name="20% - Accent3 2 12" xfId="977"/>
    <cellStyle name="20% - Accent3 2 13" xfId="1120"/>
    <cellStyle name="20% - Accent3 2 2" xfId="52"/>
    <cellStyle name="20% - Accent3 2 3" xfId="53"/>
    <cellStyle name="20% - Accent3 2 4" xfId="54"/>
    <cellStyle name="20% - Accent3 2 5" xfId="55"/>
    <cellStyle name="20% - Accent3 2 6" xfId="56"/>
    <cellStyle name="20% - Accent3 2 7" xfId="57"/>
    <cellStyle name="20% - Accent3 2 8" xfId="58"/>
    <cellStyle name="20% - Accent3 2 9" xfId="59"/>
    <cellStyle name="20% - Accent3 3" xfId="60"/>
    <cellStyle name="20% - Accent3 3 2" xfId="978"/>
    <cellStyle name="20% - Accent3 3 3" xfId="1121"/>
    <cellStyle name="20% - Accent3 4" xfId="61"/>
    <cellStyle name="20% - Accent3 4 2" xfId="979"/>
    <cellStyle name="20% - Accent3 4 3" xfId="1122"/>
    <cellStyle name="20% - Accent3 5" xfId="62"/>
    <cellStyle name="20% - Accent3 5 2" xfId="980"/>
    <cellStyle name="20% - Accent3 5 3" xfId="1123"/>
    <cellStyle name="20% - Accent3 6" xfId="63"/>
    <cellStyle name="20% - Accent3 6 2" xfId="981"/>
    <cellStyle name="20% - Accent3 6 3" xfId="1124"/>
    <cellStyle name="20% - Accent3 7" xfId="64"/>
    <cellStyle name="20% - Accent3 7 2" xfId="982"/>
    <cellStyle name="20% - Accent3 7 3" xfId="1125"/>
    <cellStyle name="20% - Accent3 8" xfId="65"/>
    <cellStyle name="20% - Accent3 8 2" xfId="983"/>
    <cellStyle name="20% - Accent3 8 3" xfId="1126"/>
    <cellStyle name="20% - Accent3 9" xfId="66"/>
    <cellStyle name="20% - Accent3 9 2" xfId="984"/>
    <cellStyle name="20% - Accent3 9 3" xfId="1127"/>
    <cellStyle name="20% - Accent4 10" xfId="67"/>
    <cellStyle name="20% - Accent4 10 2" xfId="985"/>
    <cellStyle name="20% - Accent4 10 3" xfId="1128"/>
    <cellStyle name="20% - Accent4 11" xfId="68"/>
    <cellStyle name="20% - Accent4 11 2" xfId="986"/>
    <cellStyle name="20% - Accent4 11 3" xfId="1129"/>
    <cellStyle name="20% - Accent4 2" xfId="69"/>
    <cellStyle name="20% - Accent4 2 10" xfId="70"/>
    <cellStyle name="20% - Accent4 2 11" xfId="71"/>
    <cellStyle name="20% - Accent4 2 12" xfId="987"/>
    <cellStyle name="20% - Accent4 2 13" xfId="1130"/>
    <cellStyle name="20% - Accent4 2 2" xfId="72"/>
    <cellStyle name="20% - Accent4 2 3" xfId="73"/>
    <cellStyle name="20% - Accent4 2 4" xfId="74"/>
    <cellStyle name="20% - Accent4 2 5" xfId="75"/>
    <cellStyle name="20% - Accent4 2 6" xfId="76"/>
    <cellStyle name="20% - Accent4 2 7" xfId="77"/>
    <cellStyle name="20% - Accent4 2 8" xfId="78"/>
    <cellStyle name="20% - Accent4 2 9" xfId="79"/>
    <cellStyle name="20% - Accent4 3" xfId="80"/>
    <cellStyle name="20% - Accent4 3 2" xfId="988"/>
    <cellStyle name="20% - Accent4 3 3" xfId="1131"/>
    <cellStyle name="20% - Accent4 4" xfId="81"/>
    <cellStyle name="20% - Accent4 4 2" xfId="989"/>
    <cellStyle name="20% - Accent4 4 3" xfId="1132"/>
    <cellStyle name="20% - Accent4 5" xfId="82"/>
    <cellStyle name="20% - Accent4 5 2" xfId="990"/>
    <cellStyle name="20% - Accent4 5 3" xfId="1133"/>
    <cellStyle name="20% - Accent4 6" xfId="83"/>
    <cellStyle name="20% - Accent4 6 2" xfId="991"/>
    <cellStyle name="20% - Accent4 6 3" xfId="1134"/>
    <cellStyle name="20% - Accent4 7" xfId="84"/>
    <cellStyle name="20% - Accent4 7 2" xfId="992"/>
    <cellStyle name="20% - Accent4 7 3" xfId="1135"/>
    <cellStyle name="20% - Accent4 8" xfId="85"/>
    <cellStyle name="20% - Accent4 8 2" xfId="993"/>
    <cellStyle name="20% - Accent4 8 3" xfId="1136"/>
    <cellStyle name="20% - Accent4 9" xfId="86"/>
    <cellStyle name="20% - Accent4 9 2" xfId="994"/>
    <cellStyle name="20% - Accent4 9 3" xfId="1137"/>
    <cellStyle name="20% - Accent5 10" xfId="87"/>
    <cellStyle name="20% - Accent5 10 2" xfId="995"/>
    <cellStyle name="20% - Accent5 10 3" xfId="1138"/>
    <cellStyle name="20% - Accent5 11" xfId="88"/>
    <cellStyle name="20% - Accent5 11 2" xfId="996"/>
    <cellStyle name="20% - Accent5 11 3" xfId="1139"/>
    <cellStyle name="20% - Accent5 2" xfId="89"/>
    <cellStyle name="20% - Accent5 2 10" xfId="90"/>
    <cellStyle name="20% - Accent5 2 11" xfId="91"/>
    <cellStyle name="20% - Accent5 2 12" xfId="997"/>
    <cellStyle name="20% - Accent5 2 13" xfId="1140"/>
    <cellStyle name="20% - Accent5 2 2" xfId="92"/>
    <cellStyle name="20% - Accent5 2 3" xfId="93"/>
    <cellStyle name="20% - Accent5 2 4" xfId="94"/>
    <cellStyle name="20% - Accent5 2 5" xfId="95"/>
    <cellStyle name="20% - Accent5 2 6" xfId="96"/>
    <cellStyle name="20% - Accent5 2 7" xfId="97"/>
    <cellStyle name="20% - Accent5 2 8" xfId="98"/>
    <cellStyle name="20% - Accent5 2 9" xfId="99"/>
    <cellStyle name="20% - Accent5 3" xfId="100"/>
    <cellStyle name="20% - Accent5 3 2" xfId="998"/>
    <cellStyle name="20% - Accent5 3 3" xfId="1141"/>
    <cellStyle name="20% - Accent5 4" xfId="101"/>
    <cellStyle name="20% - Accent5 4 2" xfId="999"/>
    <cellStyle name="20% - Accent5 4 3" xfId="1142"/>
    <cellStyle name="20% - Accent5 5" xfId="102"/>
    <cellStyle name="20% - Accent5 5 2" xfId="1000"/>
    <cellStyle name="20% - Accent5 5 3" xfId="1143"/>
    <cellStyle name="20% - Accent5 6" xfId="103"/>
    <cellStyle name="20% - Accent5 6 2" xfId="1001"/>
    <cellStyle name="20% - Accent5 6 3" xfId="1144"/>
    <cellStyle name="20% - Accent5 7" xfId="104"/>
    <cellStyle name="20% - Accent5 7 2" xfId="1002"/>
    <cellStyle name="20% - Accent5 7 3" xfId="1145"/>
    <cellStyle name="20% - Accent5 8" xfId="105"/>
    <cellStyle name="20% - Accent5 8 2" xfId="1003"/>
    <cellStyle name="20% - Accent5 8 3" xfId="1146"/>
    <cellStyle name="20% - Accent5 9" xfId="106"/>
    <cellStyle name="20% - Accent5 9 2" xfId="1004"/>
    <cellStyle name="20% - Accent5 9 3" xfId="1147"/>
    <cellStyle name="20% - Accent6 10" xfId="107"/>
    <cellStyle name="20% - Accent6 10 2" xfId="1005"/>
    <cellStyle name="20% - Accent6 10 3" xfId="1148"/>
    <cellStyle name="20% - Accent6 11" xfId="108"/>
    <cellStyle name="20% - Accent6 11 2" xfId="1006"/>
    <cellStyle name="20% - Accent6 11 3" xfId="1149"/>
    <cellStyle name="20% - Accent6 2" xfId="109"/>
    <cellStyle name="20% - Accent6 2 10" xfId="110"/>
    <cellStyle name="20% - Accent6 2 11" xfId="111"/>
    <cellStyle name="20% - Accent6 2 12" xfId="1007"/>
    <cellStyle name="20% - Accent6 2 13" xfId="1150"/>
    <cellStyle name="20% - Accent6 2 2" xfId="112"/>
    <cellStyle name="20% - Accent6 2 3" xfId="113"/>
    <cellStyle name="20% - Accent6 2 4" xfId="114"/>
    <cellStyle name="20% - Accent6 2 5" xfId="115"/>
    <cellStyle name="20% - Accent6 2 6" xfId="116"/>
    <cellStyle name="20% - Accent6 2 7" xfId="117"/>
    <cellStyle name="20% - Accent6 2 8" xfId="118"/>
    <cellStyle name="20% - Accent6 2 9" xfId="119"/>
    <cellStyle name="20% - Accent6 3" xfId="120"/>
    <cellStyle name="20% - Accent6 3 2" xfId="1008"/>
    <cellStyle name="20% - Accent6 3 3" xfId="1151"/>
    <cellStyle name="20% - Accent6 4" xfId="121"/>
    <cellStyle name="20% - Accent6 4 2" xfId="1009"/>
    <cellStyle name="20% - Accent6 4 3" xfId="1152"/>
    <cellStyle name="20% - Accent6 5" xfId="122"/>
    <cellStyle name="20% - Accent6 5 2" xfId="1010"/>
    <cellStyle name="20% - Accent6 5 3" xfId="1153"/>
    <cellStyle name="20% - Accent6 6" xfId="123"/>
    <cellStyle name="20% - Accent6 6 2" xfId="1011"/>
    <cellStyle name="20% - Accent6 6 3" xfId="1154"/>
    <cellStyle name="20% - Accent6 7" xfId="124"/>
    <cellStyle name="20% - Accent6 7 2" xfId="1012"/>
    <cellStyle name="20% - Accent6 7 3" xfId="1155"/>
    <cellStyle name="20% - Accent6 8" xfId="125"/>
    <cellStyle name="20% - Accent6 8 2" xfId="1013"/>
    <cellStyle name="20% - Accent6 8 3" xfId="1156"/>
    <cellStyle name="20% - Accent6 9" xfId="126"/>
    <cellStyle name="20% - Accent6 9 2" xfId="1014"/>
    <cellStyle name="20% - Accent6 9 3" xfId="1157"/>
    <cellStyle name="3dp" xfId="127"/>
    <cellStyle name="40% - Accent1 10" xfId="128"/>
    <cellStyle name="40% - Accent1 10 2" xfId="1015"/>
    <cellStyle name="40% - Accent1 10 3" xfId="1158"/>
    <cellStyle name="40% - Accent1 11" xfId="129"/>
    <cellStyle name="40% - Accent1 11 2" xfId="1016"/>
    <cellStyle name="40% - Accent1 11 3" xfId="1159"/>
    <cellStyle name="40% - Accent1 2" xfId="130"/>
    <cellStyle name="40% - Accent1 2 10" xfId="131"/>
    <cellStyle name="40% - Accent1 2 11" xfId="132"/>
    <cellStyle name="40% - Accent1 2 12" xfId="1017"/>
    <cellStyle name="40% - Accent1 2 13" xfId="1160"/>
    <cellStyle name="40% - Accent1 2 2" xfId="133"/>
    <cellStyle name="40% - Accent1 2 3" xfId="134"/>
    <cellStyle name="40% - Accent1 2 4" xfId="135"/>
    <cellStyle name="40% - Accent1 2 5" xfId="136"/>
    <cellStyle name="40% - Accent1 2 6" xfId="137"/>
    <cellStyle name="40% - Accent1 2 7" xfId="138"/>
    <cellStyle name="40% - Accent1 2 8" xfId="139"/>
    <cellStyle name="40% - Accent1 2 9" xfId="140"/>
    <cellStyle name="40% - Accent1 3" xfId="141"/>
    <cellStyle name="40% - Accent1 3 2" xfId="1018"/>
    <cellStyle name="40% - Accent1 3 3" xfId="1161"/>
    <cellStyle name="40% - Accent1 4" xfId="142"/>
    <cellStyle name="40% - Accent1 4 2" xfId="1019"/>
    <cellStyle name="40% - Accent1 4 3" xfId="1162"/>
    <cellStyle name="40% - Accent1 5" xfId="143"/>
    <cellStyle name="40% - Accent1 5 2" xfId="1020"/>
    <cellStyle name="40% - Accent1 5 3" xfId="1163"/>
    <cellStyle name="40% - Accent1 6" xfId="144"/>
    <cellStyle name="40% - Accent1 6 2" xfId="1021"/>
    <cellStyle name="40% - Accent1 6 3" xfId="1164"/>
    <cellStyle name="40% - Accent1 7" xfId="145"/>
    <cellStyle name="40% - Accent1 7 2" xfId="1022"/>
    <cellStyle name="40% - Accent1 7 3" xfId="1165"/>
    <cellStyle name="40% - Accent1 8" xfId="146"/>
    <cellStyle name="40% - Accent1 8 2" xfId="1023"/>
    <cellStyle name="40% - Accent1 8 3" xfId="1166"/>
    <cellStyle name="40% - Accent1 9" xfId="147"/>
    <cellStyle name="40% - Accent1 9 2" xfId="1024"/>
    <cellStyle name="40% - Accent1 9 3" xfId="1167"/>
    <cellStyle name="40% - Accent2 10" xfId="148"/>
    <cellStyle name="40% - Accent2 10 2" xfId="1025"/>
    <cellStyle name="40% - Accent2 10 3" xfId="1168"/>
    <cellStyle name="40% - Accent2 11" xfId="149"/>
    <cellStyle name="40% - Accent2 11 2" xfId="1026"/>
    <cellStyle name="40% - Accent2 11 3" xfId="1169"/>
    <cellStyle name="40% - Accent2 2" xfId="150"/>
    <cellStyle name="40% - Accent2 2 10" xfId="151"/>
    <cellStyle name="40% - Accent2 2 11" xfId="152"/>
    <cellStyle name="40% - Accent2 2 12" xfId="1027"/>
    <cellStyle name="40% - Accent2 2 13" xfId="1170"/>
    <cellStyle name="40% - Accent2 2 2" xfId="153"/>
    <cellStyle name="40% - Accent2 2 3" xfId="154"/>
    <cellStyle name="40% - Accent2 2 4" xfId="155"/>
    <cellStyle name="40% - Accent2 2 5" xfId="156"/>
    <cellStyle name="40% - Accent2 2 6" xfId="157"/>
    <cellStyle name="40% - Accent2 2 7" xfId="158"/>
    <cellStyle name="40% - Accent2 2 8" xfId="159"/>
    <cellStyle name="40% - Accent2 2 9" xfId="160"/>
    <cellStyle name="40% - Accent2 3" xfId="161"/>
    <cellStyle name="40% - Accent2 3 2" xfId="1028"/>
    <cellStyle name="40% - Accent2 3 3" xfId="1171"/>
    <cellStyle name="40% - Accent2 4" xfId="162"/>
    <cellStyle name="40% - Accent2 4 2" xfId="1029"/>
    <cellStyle name="40% - Accent2 4 3" xfId="1172"/>
    <cellStyle name="40% - Accent2 5" xfId="163"/>
    <cellStyle name="40% - Accent2 5 2" xfId="1030"/>
    <cellStyle name="40% - Accent2 5 3" xfId="1173"/>
    <cellStyle name="40% - Accent2 6" xfId="164"/>
    <cellStyle name="40% - Accent2 6 2" xfId="1031"/>
    <cellStyle name="40% - Accent2 6 3" xfId="1174"/>
    <cellStyle name="40% - Accent2 7" xfId="165"/>
    <cellStyle name="40% - Accent2 7 2" xfId="1032"/>
    <cellStyle name="40% - Accent2 7 3" xfId="1175"/>
    <cellStyle name="40% - Accent2 8" xfId="166"/>
    <cellStyle name="40% - Accent2 8 2" xfId="1033"/>
    <cellStyle name="40% - Accent2 8 3" xfId="1176"/>
    <cellStyle name="40% - Accent2 9" xfId="167"/>
    <cellStyle name="40% - Accent2 9 2" xfId="1034"/>
    <cellStyle name="40% - Accent2 9 3" xfId="1177"/>
    <cellStyle name="40% - Accent3 10" xfId="168"/>
    <cellStyle name="40% - Accent3 10 2" xfId="1035"/>
    <cellStyle name="40% - Accent3 10 3" xfId="1178"/>
    <cellStyle name="40% - Accent3 11" xfId="169"/>
    <cellStyle name="40% - Accent3 11 2" xfId="1036"/>
    <cellStyle name="40% - Accent3 11 3" xfId="1179"/>
    <cellStyle name="40% - Accent3 2" xfId="170"/>
    <cellStyle name="40% - Accent3 2 10" xfId="171"/>
    <cellStyle name="40% - Accent3 2 11" xfId="172"/>
    <cellStyle name="40% - Accent3 2 12" xfId="1037"/>
    <cellStyle name="40% - Accent3 2 13" xfId="1180"/>
    <cellStyle name="40% - Accent3 2 2" xfId="173"/>
    <cellStyle name="40% - Accent3 2 3" xfId="174"/>
    <cellStyle name="40% - Accent3 2 4" xfId="175"/>
    <cellStyle name="40% - Accent3 2 5" xfId="176"/>
    <cellStyle name="40% - Accent3 2 6" xfId="177"/>
    <cellStyle name="40% - Accent3 2 7" xfId="178"/>
    <cellStyle name="40% - Accent3 2 8" xfId="179"/>
    <cellStyle name="40% - Accent3 2 9" xfId="180"/>
    <cellStyle name="40% - Accent3 3" xfId="181"/>
    <cellStyle name="40% - Accent3 3 2" xfId="1038"/>
    <cellStyle name="40% - Accent3 3 3" xfId="1181"/>
    <cellStyle name="40% - Accent3 4" xfId="182"/>
    <cellStyle name="40% - Accent3 4 2" xfId="1039"/>
    <cellStyle name="40% - Accent3 4 3" xfId="1182"/>
    <cellStyle name="40% - Accent3 5" xfId="183"/>
    <cellStyle name="40% - Accent3 5 2" xfId="1040"/>
    <cellStyle name="40% - Accent3 5 3" xfId="1183"/>
    <cellStyle name="40% - Accent3 6" xfId="184"/>
    <cellStyle name="40% - Accent3 6 2" xfId="1041"/>
    <cellStyle name="40% - Accent3 6 3" xfId="1184"/>
    <cellStyle name="40% - Accent3 7" xfId="185"/>
    <cellStyle name="40% - Accent3 7 2" xfId="1042"/>
    <cellStyle name="40% - Accent3 7 3" xfId="1185"/>
    <cellStyle name="40% - Accent3 8" xfId="186"/>
    <cellStyle name="40% - Accent3 8 2" xfId="1043"/>
    <cellStyle name="40% - Accent3 8 3" xfId="1186"/>
    <cellStyle name="40% - Accent3 9" xfId="187"/>
    <cellStyle name="40% - Accent3 9 2" xfId="1044"/>
    <cellStyle name="40% - Accent3 9 3" xfId="1187"/>
    <cellStyle name="40% - Accent4 10" xfId="188"/>
    <cellStyle name="40% - Accent4 10 2" xfId="1045"/>
    <cellStyle name="40% - Accent4 10 3" xfId="1188"/>
    <cellStyle name="40% - Accent4 11" xfId="189"/>
    <cellStyle name="40% - Accent4 11 2" xfId="1046"/>
    <cellStyle name="40% - Accent4 11 3" xfId="1189"/>
    <cellStyle name="40% - Accent4 2" xfId="190"/>
    <cellStyle name="40% - Accent4 2 10" xfId="191"/>
    <cellStyle name="40% - Accent4 2 11" xfId="192"/>
    <cellStyle name="40% - Accent4 2 12" xfId="1047"/>
    <cellStyle name="40% - Accent4 2 13" xfId="1190"/>
    <cellStyle name="40% - Accent4 2 2" xfId="193"/>
    <cellStyle name="40% - Accent4 2 3" xfId="194"/>
    <cellStyle name="40% - Accent4 2 4" xfId="195"/>
    <cellStyle name="40% - Accent4 2 5" xfId="196"/>
    <cellStyle name="40% - Accent4 2 6" xfId="197"/>
    <cellStyle name="40% - Accent4 2 7" xfId="198"/>
    <cellStyle name="40% - Accent4 2 8" xfId="199"/>
    <cellStyle name="40% - Accent4 2 9" xfId="200"/>
    <cellStyle name="40% - Accent4 3" xfId="201"/>
    <cellStyle name="40% - Accent4 3 2" xfId="1048"/>
    <cellStyle name="40% - Accent4 3 3" xfId="1191"/>
    <cellStyle name="40% - Accent4 4" xfId="202"/>
    <cellStyle name="40% - Accent4 4 2" xfId="1049"/>
    <cellStyle name="40% - Accent4 4 3" xfId="1192"/>
    <cellStyle name="40% - Accent4 5" xfId="203"/>
    <cellStyle name="40% - Accent4 5 2" xfId="1050"/>
    <cellStyle name="40% - Accent4 5 3" xfId="1193"/>
    <cellStyle name="40% - Accent4 6" xfId="204"/>
    <cellStyle name="40% - Accent4 6 2" xfId="1051"/>
    <cellStyle name="40% - Accent4 6 3" xfId="1194"/>
    <cellStyle name="40% - Accent4 7" xfId="205"/>
    <cellStyle name="40% - Accent4 7 2" xfId="1052"/>
    <cellStyle name="40% - Accent4 7 3" xfId="1195"/>
    <cellStyle name="40% - Accent4 8" xfId="206"/>
    <cellStyle name="40% - Accent4 8 2" xfId="1053"/>
    <cellStyle name="40% - Accent4 8 3" xfId="1196"/>
    <cellStyle name="40% - Accent4 9" xfId="207"/>
    <cellStyle name="40% - Accent4 9 2" xfId="1054"/>
    <cellStyle name="40% - Accent4 9 3" xfId="1197"/>
    <cellStyle name="40% - Accent5 10" xfId="208"/>
    <cellStyle name="40% - Accent5 10 2" xfId="1055"/>
    <cellStyle name="40% - Accent5 10 3" xfId="1198"/>
    <cellStyle name="40% - Accent5 11" xfId="209"/>
    <cellStyle name="40% - Accent5 11 2" xfId="1056"/>
    <cellStyle name="40% - Accent5 11 3" xfId="1199"/>
    <cellStyle name="40% - Accent5 2" xfId="210"/>
    <cellStyle name="40% - Accent5 2 10" xfId="211"/>
    <cellStyle name="40% - Accent5 2 11" xfId="212"/>
    <cellStyle name="40% - Accent5 2 12" xfId="1057"/>
    <cellStyle name="40% - Accent5 2 13" xfId="1200"/>
    <cellStyle name="40% - Accent5 2 2" xfId="213"/>
    <cellStyle name="40% - Accent5 2 3" xfId="214"/>
    <cellStyle name="40% - Accent5 2 4" xfId="215"/>
    <cellStyle name="40% - Accent5 2 5" xfId="216"/>
    <cellStyle name="40% - Accent5 2 6" xfId="217"/>
    <cellStyle name="40% - Accent5 2 7" xfId="218"/>
    <cellStyle name="40% - Accent5 2 8" xfId="219"/>
    <cellStyle name="40% - Accent5 2 9" xfId="220"/>
    <cellStyle name="40% - Accent5 3" xfId="221"/>
    <cellStyle name="40% - Accent5 3 2" xfId="1058"/>
    <cellStyle name="40% - Accent5 3 3" xfId="1201"/>
    <cellStyle name="40% - Accent5 4" xfId="222"/>
    <cellStyle name="40% - Accent5 4 2" xfId="1059"/>
    <cellStyle name="40% - Accent5 4 3" xfId="1202"/>
    <cellStyle name="40% - Accent5 5" xfId="223"/>
    <cellStyle name="40% - Accent5 5 2" xfId="1060"/>
    <cellStyle name="40% - Accent5 5 3" xfId="1203"/>
    <cellStyle name="40% - Accent5 6" xfId="224"/>
    <cellStyle name="40% - Accent5 6 2" xfId="1061"/>
    <cellStyle name="40% - Accent5 6 3" xfId="1204"/>
    <cellStyle name="40% - Accent5 7" xfId="225"/>
    <cellStyle name="40% - Accent5 7 2" xfId="1062"/>
    <cellStyle name="40% - Accent5 7 3" xfId="1205"/>
    <cellStyle name="40% - Accent5 8" xfId="226"/>
    <cellStyle name="40% - Accent5 8 2" xfId="1063"/>
    <cellStyle name="40% - Accent5 8 3" xfId="1206"/>
    <cellStyle name="40% - Accent5 9" xfId="227"/>
    <cellStyle name="40% - Accent5 9 2" xfId="1064"/>
    <cellStyle name="40% - Accent5 9 3" xfId="1207"/>
    <cellStyle name="40% - Accent6 10" xfId="228"/>
    <cellStyle name="40% - Accent6 10 2" xfId="1065"/>
    <cellStyle name="40% - Accent6 10 3" xfId="1208"/>
    <cellStyle name="40% - Accent6 11" xfId="229"/>
    <cellStyle name="40% - Accent6 11 2" xfId="1066"/>
    <cellStyle name="40% - Accent6 11 3" xfId="1209"/>
    <cellStyle name="40% - Accent6 2" xfId="230"/>
    <cellStyle name="40% - Accent6 2 10" xfId="231"/>
    <cellStyle name="40% - Accent6 2 11" xfId="232"/>
    <cellStyle name="40% - Accent6 2 12" xfId="1067"/>
    <cellStyle name="40% - Accent6 2 13" xfId="1210"/>
    <cellStyle name="40% - Accent6 2 2" xfId="233"/>
    <cellStyle name="40% - Accent6 2 3" xfId="234"/>
    <cellStyle name="40% - Accent6 2 4" xfId="235"/>
    <cellStyle name="40% - Accent6 2 5" xfId="236"/>
    <cellStyle name="40% - Accent6 2 6" xfId="237"/>
    <cellStyle name="40% - Accent6 2 7" xfId="238"/>
    <cellStyle name="40% - Accent6 2 8" xfId="239"/>
    <cellStyle name="40% - Accent6 2 9" xfId="240"/>
    <cellStyle name="40% - Accent6 3" xfId="241"/>
    <cellStyle name="40% - Accent6 3 2" xfId="1068"/>
    <cellStyle name="40% - Accent6 3 3" xfId="1211"/>
    <cellStyle name="40% - Accent6 4" xfId="242"/>
    <cellStyle name="40% - Accent6 4 2" xfId="1069"/>
    <cellStyle name="40% - Accent6 4 3" xfId="1212"/>
    <cellStyle name="40% - Accent6 5" xfId="243"/>
    <cellStyle name="40% - Accent6 5 2" xfId="1070"/>
    <cellStyle name="40% - Accent6 5 3" xfId="1213"/>
    <cellStyle name="40% - Accent6 6" xfId="244"/>
    <cellStyle name="40% - Accent6 6 2" xfId="1071"/>
    <cellStyle name="40% - Accent6 6 3" xfId="1214"/>
    <cellStyle name="40% - Accent6 7" xfId="245"/>
    <cellStyle name="40% - Accent6 7 2" xfId="1072"/>
    <cellStyle name="40% - Accent6 7 3" xfId="1215"/>
    <cellStyle name="40% - Accent6 8" xfId="246"/>
    <cellStyle name="40% - Accent6 8 2" xfId="1073"/>
    <cellStyle name="40% - Accent6 8 3" xfId="1216"/>
    <cellStyle name="40% - Accent6 9" xfId="247"/>
    <cellStyle name="40% - Accent6 9 2" xfId="1074"/>
    <cellStyle name="40% - Accent6 9 3" xfId="1217"/>
    <cellStyle name="4dp" xfId="248"/>
    <cellStyle name="60% - Accent1 10" xfId="249"/>
    <cellStyle name="60% - Accent1 11" xfId="250"/>
    <cellStyle name="60% - Accent1 2" xfId="251"/>
    <cellStyle name="60% - Accent1 2 10" xfId="252"/>
    <cellStyle name="60% - Accent1 2 11" xfId="253"/>
    <cellStyle name="60% - Accent1 2 2" xfId="254"/>
    <cellStyle name="60% - Accent1 2 3" xfId="255"/>
    <cellStyle name="60% - Accent1 2 4" xfId="256"/>
    <cellStyle name="60% - Accent1 2 5" xfId="257"/>
    <cellStyle name="60% - Accent1 2 6" xfId="258"/>
    <cellStyle name="60% - Accent1 2 7" xfId="259"/>
    <cellStyle name="60% - Accent1 2 8" xfId="260"/>
    <cellStyle name="60% - Accent1 2 9" xfId="261"/>
    <cellStyle name="60% - Accent1 3" xfId="262"/>
    <cellStyle name="60% - Accent1 4" xfId="263"/>
    <cellStyle name="60% - Accent1 5" xfId="264"/>
    <cellStyle name="60% - Accent1 6" xfId="265"/>
    <cellStyle name="60% - Accent1 7" xfId="266"/>
    <cellStyle name="60% - Accent1 8" xfId="267"/>
    <cellStyle name="60% - Accent1 9" xfId="268"/>
    <cellStyle name="60% - Accent2 10" xfId="269"/>
    <cellStyle name="60% - Accent2 11" xfId="270"/>
    <cellStyle name="60% - Accent2 2" xfId="271"/>
    <cellStyle name="60% - Accent2 2 10" xfId="272"/>
    <cellStyle name="60% - Accent2 2 11" xfId="273"/>
    <cellStyle name="60% - Accent2 2 2" xfId="274"/>
    <cellStyle name="60% - Accent2 2 3" xfId="275"/>
    <cellStyle name="60% - Accent2 2 4" xfId="276"/>
    <cellStyle name="60% - Accent2 2 5" xfId="277"/>
    <cellStyle name="60% - Accent2 2 6" xfId="278"/>
    <cellStyle name="60% - Accent2 2 7" xfId="279"/>
    <cellStyle name="60% - Accent2 2 8" xfId="280"/>
    <cellStyle name="60% - Accent2 2 9" xfId="281"/>
    <cellStyle name="60% - Accent2 3" xfId="282"/>
    <cellStyle name="60% - Accent2 4" xfId="283"/>
    <cellStyle name="60% - Accent2 5" xfId="284"/>
    <cellStyle name="60% - Accent2 6" xfId="285"/>
    <cellStyle name="60% - Accent2 7" xfId="286"/>
    <cellStyle name="60% - Accent2 8" xfId="287"/>
    <cellStyle name="60% - Accent2 9" xfId="288"/>
    <cellStyle name="60% - Accent3 10" xfId="289"/>
    <cellStyle name="60% - Accent3 11" xfId="290"/>
    <cellStyle name="60% - Accent3 2" xfId="291"/>
    <cellStyle name="60% - Accent3 2 10" xfId="292"/>
    <cellStyle name="60% - Accent3 2 11" xfId="293"/>
    <cellStyle name="60% - Accent3 2 2" xfId="294"/>
    <cellStyle name="60% - Accent3 2 3" xfId="295"/>
    <cellStyle name="60% - Accent3 2 4" xfId="296"/>
    <cellStyle name="60% - Accent3 2 5" xfId="297"/>
    <cellStyle name="60% - Accent3 2 6" xfId="298"/>
    <cellStyle name="60% - Accent3 2 7" xfId="299"/>
    <cellStyle name="60% - Accent3 2 8" xfId="300"/>
    <cellStyle name="60% - Accent3 2 9" xfId="301"/>
    <cellStyle name="60% - Accent3 3" xfId="302"/>
    <cellStyle name="60% - Accent3 4" xfId="303"/>
    <cellStyle name="60% - Accent3 5" xfId="304"/>
    <cellStyle name="60% - Accent3 6" xfId="305"/>
    <cellStyle name="60% - Accent3 7" xfId="306"/>
    <cellStyle name="60% - Accent3 8" xfId="307"/>
    <cellStyle name="60% - Accent3 9" xfId="308"/>
    <cellStyle name="60% - Accent4 10" xfId="309"/>
    <cellStyle name="60% - Accent4 11" xfId="310"/>
    <cellStyle name="60% - Accent4 2" xfId="311"/>
    <cellStyle name="60% - Accent4 2 10" xfId="312"/>
    <cellStyle name="60% - Accent4 2 11" xfId="313"/>
    <cellStyle name="60% - Accent4 2 2" xfId="314"/>
    <cellStyle name="60% - Accent4 2 3" xfId="315"/>
    <cellStyle name="60% - Accent4 2 4" xfId="316"/>
    <cellStyle name="60% - Accent4 2 5" xfId="317"/>
    <cellStyle name="60% - Accent4 2 6" xfId="318"/>
    <cellStyle name="60% - Accent4 2 7" xfId="319"/>
    <cellStyle name="60% - Accent4 2 8" xfId="320"/>
    <cellStyle name="60% - Accent4 2 9" xfId="321"/>
    <cellStyle name="60% - Accent4 3" xfId="322"/>
    <cellStyle name="60% - Accent4 4" xfId="323"/>
    <cellStyle name="60% - Accent4 5" xfId="324"/>
    <cellStyle name="60% - Accent4 6" xfId="325"/>
    <cellStyle name="60% - Accent4 7" xfId="326"/>
    <cellStyle name="60% - Accent4 8" xfId="327"/>
    <cellStyle name="60% - Accent4 9" xfId="328"/>
    <cellStyle name="60% - Accent5 10" xfId="329"/>
    <cellStyle name="60% - Accent5 11" xfId="330"/>
    <cellStyle name="60% - Accent5 2" xfId="331"/>
    <cellStyle name="60% - Accent5 2 10" xfId="332"/>
    <cellStyle name="60% - Accent5 2 11" xfId="333"/>
    <cellStyle name="60% - Accent5 2 2" xfId="334"/>
    <cellStyle name="60% - Accent5 2 3" xfId="335"/>
    <cellStyle name="60% - Accent5 2 4" xfId="336"/>
    <cellStyle name="60% - Accent5 2 5" xfId="337"/>
    <cellStyle name="60% - Accent5 2 6" xfId="338"/>
    <cellStyle name="60% - Accent5 2 7" xfId="339"/>
    <cellStyle name="60% - Accent5 2 8" xfId="340"/>
    <cellStyle name="60% - Accent5 2 9" xfId="341"/>
    <cellStyle name="60% - Accent5 3" xfId="342"/>
    <cellStyle name="60% - Accent5 4" xfId="343"/>
    <cellStyle name="60% - Accent5 5" xfId="344"/>
    <cellStyle name="60% - Accent5 6" xfId="345"/>
    <cellStyle name="60% - Accent5 7" xfId="346"/>
    <cellStyle name="60% - Accent5 8" xfId="347"/>
    <cellStyle name="60% - Accent5 9" xfId="348"/>
    <cellStyle name="60% - Accent6 10" xfId="349"/>
    <cellStyle name="60% - Accent6 11" xfId="350"/>
    <cellStyle name="60% - Accent6 2" xfId="351"/>
    <cellStyle name="60% - Accent6 2 10" xfId="352"/>
    <cellStyle name="60% - Accent6 2 11" xfId="353"/>
    <cellStyle name="60% - Accent6 2 2" xfId="354"/>
    <cellStyle name="60% - Accent6 2 3" xfId="355"/>
    <cellStyle name="60% - Accent6 2 4" xfId="356"/>
    <cellStyle name="60% - Accent6 2 5" xfId="357"/>
    <cellStyle name="60% - Accent6 2 6" xfId="358"/>
    <cellStyle name="60% - Accent6 2 7" xfId="359"/>
    <cellStyle name="60% - Accent6 2 8" xfId="360"/>
    <cellStyle name="60% - Accent6 2 9" xfId="361"/>
    <cellStyle name="60% - Accent6 3" xfId="362"/>
    <cellStyle name="60% - Accent6 4" xfId="363"/>
    <cellStyle name="60% - Accent6 5" xfId="364"/>
    <cellStyle name="60% - Accent6 6" xfId="365"/>
    <cellStyle name="60% - Accent6 7" xfId="366"/>
    <cellStyle name="60% - Accent6 8" xfId="367"/>
    <cellStyle name="60% - Accent6 9" xfId="368"/>
    <cellStyle name="aaa" xfId="369"/>
    <cellStyle name="Accent1 10" xfId="370"/>
    <cellStyle name="Accent1 11" xfId="371"/>
    <cellStyle name="Accent1 2" xfId="372"/>
    <cellStyle name="Accent1 2 10" xfId="373"/>
    <cellStyle name="Accent1 2 11" xfId="374"/>
    <cellStyle name="Accent1 2 2" xfId="375"/>
    <cellStyle name="Accent1 2 3" xfId="376"/>
    <cellStyle name="Accent1 2 4" xfId="377"/>
    <cellStyle name="Accent1 2 5" xfId="378"/>
    <cellStyle name="Accent1 2 6" xfId="379"/>
    <cellStyle name="Accent1 2 7" xfId="380"/>
    <cellStyle name="Accent1 2 8" xfId="381"/>
    <cellStyle name="Accent1 2 9" xfId="382"/>
    <cellStyle name="Accent1 3" xfId="383"/>
    <cellStyle name="Accent1 4" xfId="384"/>
    <cellStyle name="Accent1 5" xfId="385"/>
    <cellStyle name="Accent1 6" xfId="386"/>
    <cellStyle name="Accent1 7" xfId="387"/>
    <cellStyle name="Accent1 8" xfId="388"/>
    <cellStyle name="Accent1 9" xfId="389"/>
    <cellStyle name="Accent2 10" xfId="390"/>
    <cellStyle name="Accent2 11" xfId="391"/>
    <cellStyle name="Accent2 2" xfId="392"/>
    <cellStyle name="Accent2 2 10" xfId="393"/>
    <cellStyle name="Accent2 2 11" xfId="394"/>
    <cellStyle name="Accent2 2 2" xfId="395"/>
    <cellStyle name="Accent2 2 3" xfId="396"/>
    <cellStyle name="Accent2 2 4" xfId="397"/>
    <cellStyle name="Accent2 2 5" xfId="398"/>
    <cellStyle name="Accent2 2 6" xfId="399"/>
    <cellStyle name="Accent2 2 7" xfId="400"/>
    <cellStyle name="Accent2 2 8" xfId="401"/>
    <cellStyle name="Accent2 2 9" xfId="402"/>
    <cellStyle name="Accent2 3" xfId="403"/>
    <cellStyle name="Accent2 4" xfId="404"/>
    <cellStyle name="Accent2 5" xfId="405"/>
    <cellStyle name="Accent2 6" xfId="406"/>
    <cellStyle name="Accent2 7" xfId="407"/>
    <cellStyle name="Accent2 8" xfId="408"/>
    <cellStyle name="Accent2 9" xfId="409"/>
    <cellStyle name="Accent3 10" xfId="410"/>
    <cellStyle name="Accent3 11" xfId="411"/>
    <cellStyle name="Accent3 2" xfId="412"/>
    <cellStyle name="Accent3 2 10" xfId="413"/>
    <cellStyle name="Accent3 2 11" xfId="414"/>
    <cellStyle name="Accent3 2 2" xfId="415"/>
    <cellStyle name="Accent3 2 3" xfId="416"/>
    <cellStyle name="Accent3 2 4" xfId="417"/>
    <cellStyle name="Accent3 2 5" xfId="418"/>
    <cellStyle name="Accent3 2 6" xfId="419"/>
    <cellStyle name="Accent3 2 7" xfId="420"/>
    <cellStyle name="Accent3 2 8" xfId="421"/>
    <cellStyle name="Accent3 2 9" xfId="422"/>
    <cellStyle name="Accent3 3" xfId="423"/>
    <cellStyle name="Accent3 4" xfId="424"/>
    <cellStyle name="Accent3 5" xfId="425"/>
    <cellStyle name="Accent3 6" xfId="426"/>
    <cellStyle name="Accent3 7" xfId="427"/>
    <cellStyle name="Accent3 8" xfId="428"/>
    <cellStyle name="Accent3 9" xfId="429"/>
    <cellStyle name="Accent4 10" xfId="430"/>
    <cellStyle name="Accent4 11" xfId="431"/>
    <cellStyle name="Accent4 2" xfId="432"/>
    <cellStyle name="Accent4 2 10" xfId="433"/>
    <cellStyle name="Accent4 2 11" xfId="434"/>
    <cellStyle name="Accent4 2 2" xfId="435"/>
    <cellStyle name="Accent4 2 3" xfId="436"/>
    <cellStyle name="Accent4 2 4" xfId="437"/>
    <cellStyle name="Accent4 2 5" xfId="438"/>
    <cellStyle name="Accent4 2 6" xfId="439"/>
    <cellStyle name="Accent4 2 7" xfId="440"/>
    <cellStyle name="Accent4 2 8" xfId="441"/>
    <cellStyle name="Accent4 2 9" xfId="442"/>
    <cellStyle name="Accent4 3" xfId="443"/>
    <cellStyle name="Accent4 4" xfId="444"/>
    <cellStyle name="Accent4 5" xfId="445"/>
    <cellStyle name="Accent4 6" xfId="446"/>
    <cellStyle name="Accent4 7" xfId="447"/>
    <cellStyle name="Accent4 8" xfId="448"/>
    <cellStyle name="Accent4 9" xfId="449"/>
    <cellStyle name="Accent5 10" xfId="450"/>
    <cellStyle name="Accent5 11" xfId="451"/>
    <cellStyle name="Accent5 2" xfId="452"/>
    <cellStyle name="Accent5 2 10" xfId="453"/>
    <cellStyle name="Accent5 2 11" xfId="454"/>
    <cellStyle name="Accent5 2 2" xfId="455"/>
    <cellStyle name="Accent5 2 3" xfId="456"/>
    <cellStyle name="Accent5 2 4" xfId="457"/>
    <cellStyle name="Accent5 2 5" xfId="458"/>
    <cellStyle name="Accent5 2 6" xfId="459"/>
    <cellStyle name="Accent5 2 7" xfId="460"/>
    <cellStyle name="Accent5 2 8" xfId="461"/>
    <cellStyle name="Accent5 2 9" xfId="462"/>
    <cellStyle name="Accent5 3" xfId="463"/>
    <cellStyle name="Accent5 4" xfId="464"/>
    <cellStyle name="Accent5 5" xfId="465"/>
    <cellStyle name="Accent5 6" xfId="466"/>
    <cellStyle name="Accent5 7" xfId="467"/>
    <cellStyle name="Accent5 8" xfId="468"/>
    <cellStyle name="Accent5 9" xfId="469"/>
    <cellStyle name="Accent6 10" xfId="470"/>
    <cellStyle name="Accent6 11" xfId="471"/>
    <cellStyle name="Accent6 2" xfId="472"/>
    <cellStyle name="Accent6 2 10" xfId="473"/>
    <cellStyle name="Accent6 2 11" xfId="474"/>
    <cellStyle name="Accent6 2 2" xfId="475"/>
    <cellStyle name="Accent6 2 3" xfId="476"/>
    <cellStyle name="Accent6 2 4" xfId="477"/>
    <cellStyle name="Accent6 2 5" xfId="478"/>
    <cellStyle name="Accent6 2 6" xfId="479"/>
    <cellStyle name="Accent6 2 7" xfId="480"/>
    <cellStyle name="Accent6 2 8" xfId="481"/>
    <cellStyle name="Accent6 2 9" xfId="482"/>
    <cellStyle name="Accent6 3" xfId="483"/>
    <cellStyle name="Accent6 4" xfId="484"/>
    <cellStyle name="Accent6 5" xfId="485"/>
    <cellStyle name="Accent6 6" xfId="486"/>
    <cellStyle name="Accent6 7" xfId="487"/>
    <cellStyle name="Accent6 8" xfId="488"/>
    <cellStyle name="Accent6 9" xfId="489"/>
    <cellStyle name="AutoFormat-Optionen" xfId="490"/>
    <cellStyle name="AxeHor" xfId="491"/>
    <cellStyle name="Bad 10" xfId="492"/>
    <cellStyle name="Bad 11" xfId="493"/>
    <cellStyle name="Bad 2" xfId="494"/>
    <cellStyle name="Bad 2 10" xfId="495"/>
    <cellStyle name="Bad 2 11" xfId="496"/>
    <cellStyle name="Bad 2 2" xfId="497"/>
    <cellStyle name="Bad 2 3" xfId="498"/>
    <cellStyle name="Bad 2 4" xfId="499"/>
    <cellStyle name="Bad 2 5" xfId="500"/>
    <cellStyle name="Bad 2 6" xfId="501"/>
    <cellStyle name="Bad 2 7" xfId="502"/>
    <cellStyle name="Bad 2 8" xfId="503"/>
    <cellStyle name="Bad 2 9" xfId="504"/>
    <cellStyle name="Bad 3" xfId="505"/>
    <cellStyle name="Bad 4" xfId="506"/>
    <cellStyle name="Bad 5" xfId="507"/>
    <cellStyle name="Bad 6" xfId="508"/>
    <cellStyle name="Bad 7" xfId="509"/>
    <cellStyle name="Bad 8" xfId="510"/>
    <cellStyle name="Bad 9" xfId="511"/>
    <cellStyle name="CALC Amount" xfId="512"/>
    <cellStyle name="CALC Amount [1]" xfId="513"/>
    <cellStyle name="CALC Amount [2]" xfId="514"/>
    <cellStyle name="CALC Amount Total" xfId="515"/>
    <cellStyle name="CALC Amount Total [1]" xfId="516"/>
    <cellStyle name="CALC Amount Total [2]" xfId="517"/>
    <cellStyle name="CALC Amount Total_Sheet1" xfId="518"/>
    <cellStyle name="CALC Currency" xfId="519"/>
    <cellStyle name="CALC Currency [1]" xfId="520"/>
    <cellStyle name="CALC Currency [2]" xfId="521"/>
    <cellStyle name="CALC Currency Total" xfId="522"/>
    <cellStyle name="CALC Currency Total [1]" xfId="523"/>
    <cellStyle name="CALC Currency Total [2]" xfId="524"/>
    <cellStyle name="CALC Currency Total_Sheet1" xfId="525"/>
    <cellStyle name="CALC Date Long" xfId="526"/>
    <cellStyle name="CALC Date Short" xfId="527"/>
    <cellStyle name="CALC Percent" xfId="528"/>
    <cellStyle name="CALC Percent [1]" xfId="529"/>
    <cellStyle name="CALC Percent [2]" xfId="530"/>
    <cellStyle name="CALC Percent Total" xfId="531"/>
    <cellStyle name="CALC Percent Total [1]" xfId="532"/>
    <cellStyle name="CALC Percent Total [2]" xfId="533"/>
    <cellStyle name="CALC Percent Total_Sheet1" xfId="534"/>
    <cellStyle name="Calculation 10" xfId="535"/>
    <cellStyle name="Calculation 11" xfId="536"/>
    <cellStyle name="Calculation 12" xfId="537"/>
    <cellStyle name="Calculation 2" xfId="538"/>
    <cellStyle name="Calculation 2 10" xfId="539"/>
    <cellStyle name="Calculation 2 11" xfId="540"/>
    <cellStyle name="Calculation 2 2" xfId="541"/>
    <cellStyle name="Calculation 2 3" xfId="542"/>
    <cellStyle name="Calculation 2 4" xfId="543"/>
    <cellStyle name="Calculation 2 5" xfId="544"/>
    <cellStyle name="Calculation 2 6" xfId="545"/>
    <cellStyle name="Calculation 2 7" xfId="546"/>
    <cellStyle name="Calculation 2 8" xfId="547"/>
    <cellStyle name="Calculation 2 9" xfId="548"/>
    <cellStyle name="Calculation 3" xfId="549"/>
    <cellStyle name="Calculation 4" xfId="550"/>
    <cellStyle name="Calculation 5" xfId="551"/>
    <cellStyle name="Calculation 6" xfId="552"/>
    <cellStyle name="Calculation 7" xfId="553"/>
    <cellStyle name="Calculation 8" xfId="554"/>
    <cellStyle name="Calculation 9" xfId="555"/>
    <cellStyle name="Check Cell 10" xfId="556"/>
    <cellStyle name="Check Cell 10 2" xfId="1075"/>
    <cellStyle name="Check Cell 10 3" xfId="1218"/>
    <cellStyle name="Check Cell 11" xfId="557"/>
    <cellStyle name="Check Cell 11 2" xfId="1076"/>
    <cellStyle name="Check Cell 11 3" xfId="1219"/>
    <cellStyle name="Check Cell 2" xfId="558"/>
    <cellStyle name="Check Cell 2 10" xfId="559"/>
    <cellStyle name="Check Cell 2 10 2" xfId="1078"/>
    <cellStyle name="Check Cell 2 10 3" xfId="1221"/>
    <cellStyle name="Check Cell 2 11" xfId="560"/>
    <cellStyle name="Check Cell 2 11 2" xfId="1079"/>
    <cellStyle name="Check Cell 2 11 3" xfId="1222"/>
    <cellStyle name="Check Cell 2 12" xfId="1077"/>
    <cellStyle name="Check Cell 2 13" xfId="1220"/>
    <cellStyle name="Check Cell 2 14" xfId="1251"/>
    <cellStyle name="Check Cell 2 2" xfId="561"/>
    <cellStyle name="Check Cell 2 2 2" xfId="1080"/>
    <cellStyle name="Check Cell 2 2 3" xfId="1223"/>
    <cellStyle name="Check Cell 2 3" xfId="562"/>
    <cellStyle name="Check Cell 2 3 2" xfId="1081"/>
    <cellStyle name="Check Cell 2 3 3" xfId="1224"/>
    <cellStyle name="Check Cell 2 4" xfId="563"/>
    <cellStyle name="Check Cell 2 4 2" xfId="1082"/>
    <cellStyle name="Check Cell 2 4 3" xfId="1225"/>
    <cellStyle name="Check Cell 2 5" xfId="564"/>
    <cellStyle name="Check Cell 2 5 2" xfId="1083"/>
    <cellStyle name="Check Cell 2 5 3" xfId="1226"/>
    <cellStyle name="Check Cell 2 6" xfId="565"/>
    <cellStyle name="Check Cell 2 6 2" xfId="1084"/>
    <cellStyle name="Check Cell 2 6 3" xfId="1227"/>
    <cellStyle name="Check Cell 2 7" xfId="566"/>
    <cellStyle name="Check Cell 2 7 2" xfId="1085"/>
    <cellStyle name="Check Cell 2 7 3" xfId="1228"/>
    <cellStyle name="Check Cell 2 8" xfId="567"/>
    <cellStyle name="Check Cell 2 8 2" xfId="1086"/>
    <cellStyle name="Check Cell 2 8 3" xfId="1229"/>
    <cellStyle name="Check Cell 2 9" xfId="568"/>
    <cellStyle name="Check Cell 2 9 2" xfId="1087"/>
    <cellStyle name="Check Cell 2 9 3" xfId="1230"/>
    <cellStyle name="Check Cell 3" xfId="569"/>
    <cellStyle name="Check Cell 3 2" xfId="1088"/>
    <cellStyle name="Check Cell 3 3" xfId="1231"/>
    <cellStyle name="Check Cell 4" xfId="570"/>
    <cellStyle name="Check Cell 4 2" xfId="1089"/>
    <cellStyle name="Check Cell 4 3" xfId="1232"/>
    <cellStyle name="Check Cell 5" xfId="571"/>
    <cellStyle name="Check Cell 5 2" xfId="1090"/>
    <cellStyle name="Check Cell 5 3" xfId="1233"/>
    <cellStyle name="Check Cell 6" xfId="572"/>
    <cellStyle name="Check Cell 6 2" xfId="1091"/>
    <cellStyle name="Check Cell 6 3" xfId="1234"/>
    <cellStyle name="Check Cell 7" xfId="573"/>
    <cellStyle name="Check Cell 7 2" xfId="1092"/>
    <cellStyle name="Check Cell 7 3" xfId="1235"/>
    <cellStyle name="Check Cell 8" xfId="574"/>
    <cellStyle name="Check Cell 8 2" xfId="1093"/>
    <cellStyle name="Check Cell 8 3" xfId="1236"/>
    <cellStyle name="Check Cell 9" xfId="575"/>
    <cellStyle name="Check Cell 9 2" xfId="1094"/>
    <cellStyle name="Check Cell 9 3" xfId="1237"/>
    <cellStyle name="CIL" xfId="576"/>
    <cellStyle name="CIU" xfId="577"/>
    <cellStyle name="Comma 2" xfId="578"/>
    <cellStyle name="Cur" xfId="579"/>
    <cellStyle name="Currency 2" xfId="1246"/>
    <cellStyle name="Currency 2 2" xfId="1257"/>
    <cellStyle name="Currency 4" xfId="954"/>
    <cellStyle name="Currency 5" xfId="952"/>
    <cellStyle name="Currency-Denomination" xfId="580"/>
    <cellStyle name="DATA Amount" xfId="581"/>
    <cellStyle name="DATA Amount [1]" xfId="582"/>
    <cellStyle name="DATA Amount [2]" xfId="583"/>
    <cellStyle name="DATA Amount_Best Practice Model Disclaimer v1.1" xfId="584"/>
    <cellStyle name="DATA Currency" xfId="585"/>
    <cellStyle name="DATA Currency [1]" xfId="586"/>
    <cellStyle name="DATA Currency [2]" xfId="587"/>
    <cellStyle name="DATA Currency_Best Practice Model Disclaimer v1.1" xfId="588"/>
    <cellStyle name="DATA Date Long" xfId="589"/>
    <cellStyle name="DATA Date Short" xfId="590"/>
    <cellStyle name="DATA List" xfId="591"/>
    <cellStyle name="DATA Memo" xfId="592"/>
    <cellStyle name="DATA Percent" xfId="593"/>
    <cellStyle name="DATA Percent [1]" xfId="594"/>
    <cellStyle name="DATA Percent [2]" xfId="595"/>
    <cellStyle name="DATA Percent_Best Practice Model Disclaimer v1.1" xfId="596"/>
    <cellStyle name="DATA Text" xfId="597"/>
    <cellStyle name="DATA Version" xfId="598"/>
    <cellStyle name="DATA_Amount" xfId="599"/>
    <cellStyle name="Date dd-mmm" xfId="600"/>
    <cellStyle name="Date dd-mmm-yy" xfId="601"/>
    <cellStyle name="Date mmm-yy" xfId="602"/>
    <cellStyle name="Decimal_0dp" xfId="603"/>
    <cellStyle name="Deviant" xfId="604"/>
    <cellStyle name="Double" xfId="605"/>
    <cellStyle name="Euro" xfId="606"/>
    <cellStyle name="Explanatory Text 10" xfId="607"/>
    <cellStyle name="Explanatory Text 11" xfId="608"/>
    <cellStyle name="Explanatory Text 2" xfId="609"/>
    <cellStyle name="Explanatory Text 2 10" xfId="610"/>
    <cellStyle name="Explanatory Text 2 11" xfId="611"/>
    <cellStyle name="Explanatory Text 2 2" xfId="612"/>
    <cellStyle name="Explanatory Text 2 3" xfId="613"/>
    <cellStyle name="Explanatory Text 2 4" xfId="614"/>
    <cellStyle name="Explanatory Text 2 5" xfId="615"/>
    <cellStyle name="Explanatory Text 2 6" xfId="616"/>
    <cellStyle name="Explanatory Text 2 7" xfId="617"/>
    <cellStyle name="Explanatory Text 2 8" xfId="618"/>
    <cellStyle name="Explanatory Text 2 9" xfId="619"/>
    <cellStyle name="Explanatory Text 3" xfId="620"/>
    <cellStyle name="Explanatory Text 4" xfId="621"/>
    <cellStyle name="Explanatory Text 5" xfId="622"/>
    <cellStyle name="Explanatory Text 6" xfId="623"/>
    <cellStyle name="Explanatory Text 7" xfId="624"/>
    <cellStyle name="Explanatory Text 8" xfId="625"/>
    <cellStyle name="Explanatory Text 9" xfId="626"/>
    <cellStyle name="footnote ref" xfId="627"/>
    <cellStyle name="footnote text" xfId="628"/>
    <cellStyle name="Forecast Cell Column Heading" xfId="629"/>
    <cellStyle name="General" xfId="630"/>
    <cellStyle name="Good 10" xfId="631"/>
    <cellStyle name="Good 11" xfId="632"/>
    <cellStyle name="Good 2" xfId="633"/>
    <cellStyle name="Good 2 10" xfId="634"/>
    <cellStyle name="Good 2 11" xfId="635"/>
    <cellStyle name="Good 2 2" xfId="636"/>
    <cellStyle name="Good 2 3" xfId="637"/>
    <cellStyle name="Good 2 4" xfId="638"/>
    <cellStyle name="Good 2 5" xfId="639"/>
    <cellStyle name="Good 2 6" xfId="640"/>
    <cellStyle name="Good 2 7" xfId="641"/>
    <cellStyle name="Good 2 8" xfId="642"/>
    <cellStyle name="Good 2 9" xfId="643"/>
    <cellStyle name="Good 3" xfId="644"/>
    <cellStyle name="Good 4" xfId="645"/>
    <cellStyle name="Good 5" xfId="646"/>
    <cellStyle name="Good 6" xfId="647"/>
    <cellStyle name="Good 7" xfId="648"/>
    <cellStyle name="Good 8" xfId="649"/>
    <cellStyle name="Good 9" xfId="650"/>
    <cellStyle name="HeaderLabel" xfId="651"/>
    <cellStyle name="HeaderText" xfId="652"/>
    <cellStyle name="HEADING 1 10" xfId="653"/>
    <cellStyle name="HEADING 1 11" xfId="654"/>
    <cellStyle name="HEADING 1 2" xfId="655"/>
    <cellStyle name="HEADING 1 3" xfId="656"/>
    <cellStyle name="HEADING 1 4" xfId="657"/>
    <cellStyle name="HEADING 1 5" xfId="658"/>
    <cellStyle name="HEADING 1 6" xfId="659"/>
    <cellStyle name="HEADING 1 7" xfId="660"/>
    <cellStyle name="HEADING 1 8" xfId="661"/>
    <cellStyle name="HEADING 1 9" xfId="662"/>
    <cellStyle name="HEADING 2 10" xfId="663"/>
    <cellStyle name="HEADING 2 11" xfId="664"/>
    <cellStyle name="HEADING 2 2" xfId="665"/>
    <cellStyle name="HEADING 2 3" xfId="666"/>
    <cellStyle name="HEADING 2 4" xfId="667"/>
    <cellStyle name="HEADING 2 5" xfId="668"/>
    <cellStyle name="HEADING 2 6" xfId="669"/>
    <cellStyle name="HEADING 2 7" xfId="670"/>
    <cellStyle name="HEADING 2 8" xfId="671"/>
    <cellStyle name="HEADING 2 9" xfId="672"/>
    <cellStyle name="HEADING 3 10" xfId="673"/>
    <cellStyle name="HEADING 3 11" xfId="674"/>
    <cellStyle name="HEADING 3 2" xfId="675"/>
    <cellStyle name="HEADING 3 3" xfId="676"/>
    <cellStyle name="HEADING 3 4" xfId="677"/>
    <cellStyle name="HEADING 3 5" xfId="678"/>
    <cellStyle name="HEADING 3 6" xfId="679"/>
    <cellStyle name="HEADING 3 7" xfId="680"/>
    <cellStyle name="HEADING 3 8" xfId="681"/>
    <cellStyle name="HEADING 3 9" xfId="682"/>
    <cellStyle name="Heading 4 10" xfId="683"/>
    <cellStyle name="Heading 4 11" xfId="684"/>
    <cellStyle name="Heading 4 2" xfId="685"/>
    <cellStyle name="Heading 4 2 10" xfId="686"/>
    <cellStyle name="Heading 4 2 11" xfId="687"/>
    <cellStyle name="Heading 4 2 2" xfId="688"/>
    <cellStyle name="Heading 4 2 3" xfId="689"/>
    <cellStyle name="Heading 4 2 4" xfId="690"/>
    <cellStyle name="Heading 4 2 5" xfId="691"/>
    <cellStyle name="Heading 4 2 6" xfId="692"/>
    <cellStyle name="Heading 4 2 7" xfId="693"/>
    <cellStyle name="Heading 4 2 8" xfId="694"/>
    <cellStyle name="Heading 4 2 9" xfId="695"/>
    <cellStyle name="Heading 4 3" xfId="696"/>
    <cellStyle name="Heading 4 4" xfId="697"/>
    <cellStyle name="Heading 4 5" xfId="698"/>
    <cellStyle name="Heading 4 6" xfId="699"/>
    <cellStyle name="Heading 4 7" xfId="700"/>
    <cellStyle name="Heading 4 8" xfId="701"/>
    <cellStyle name="Heading 4 9" xfId="702"/>
    <cellStyle name="Heading 5" xfId="703"/>
    <cellStyle name="Heading 6" xfId="704"/>
    <cellStyle name="Heading 7" xfId="705"/>
    <cellStyle name="Heading 8" xfId="706"/>
    <cellStyle name="heading info" xfId="707"/>
    <cellStyle name="Hyperlink" xfId="1243" builtinId="8"/>
    <cellStyle name="Hyperlink 2" xfId="708"/>
    <cellStyle name="Hyperlink 3" xfId="709"/>
    <cellStyle name="Hyperlink 5" xfId="948"/>
    <cellStyle name="Hyperlink 7" xfId="953"/>
    <cellStyle name="Information" xfId="710"/>
    <cellStyle name="input 10" xfId="711"/>
    <cellStyle name="input 11" xfId="712"/>
    <cellStyle name="input 2" xfId="713"/>
    <cellStyle name="Input 2 10" xfId="714"/>
    <cellStyle name="Input 2 11" xfId="715"/>
    <cellStyle name="Input 2 2" xfId="716"/>
    <cellStyle name="Input 2 3" xfId="717"/>
    <cellStyle name="Input 2 4" xfId="718"/>
    <cellStyle name="Input 2 5" xfId="719"/>
    <cellStyle name="Input 2 6" xfId="720"/>
    <cellStyle name="Input 2 7" xfId="721"/>
    <cellStyle name="Input 2 8" xfId="722"/>
    <cellStyle name="Input 2 9" xfId="723"/>
    <cellStyle name="input 3" xfId="724"/>
    <cellStyle name="input 4" xfId="725"/>
    <cellStyle name="input 5" xfId="726"/>
    <cellStyle name="input 6" xfId="727"/>
    <cellStyle name="input 7" xfId="728"/>
    <cellStyle name="input 8" xfId="729"/>
    <cellStyle name="input 9" xfId="730"/>
    <cellStyle name="LABEL Normal" xfId="731"/>
    <cellStyle name="LABEL Note" xfId="732"/>
    <cellStyle name="LABEL Units" xfId="733"/>
    <cellStyle name="LabelIntersect" xfId="734"/>
    <cellStyle name="LabelLeft" xfId="735"/>
    <cellStyle name="LabelTop" xfId="736"/>
    <cellStyle name="Linked Cell 10" xfId="737"/>
    <cellStyle name="Linked Cell 11" xfId="738"/>
    <cellStyle name="Linked Cell 2" xfId="739"/>
    <cellStyle name="Linked Cell 2 10" xfId="740"/>
    <cellStyle name="Linked Cell 2 11" xfId="741"/>
    <cellStyle name="Linked Cell 2 2" xfId="742"/>
    <cellStyle name="Linked Cell 2 3" xfId="743"/>
    <cellStyle name="Linked Cell 2 4" xfId="744"/>
    <cellStyle name="Linked Cell 2 5" xfId="745"/>
    <cellStyle name="Linked Cell 2 6" xfId="746"/>
    <cellStyle name="Linked Cell 2 7" xfId="747"/>
    <cellStyle name="Linked Cell 2 8" xfId="748"/>
    <cellStyle name="Linked Cell 2 9" xfId="749"/>
    <cellStyle name="Linked Cell 3" xfId="750"/>
    <cellStyle name="Linked Cell 4" xfId="751"/>
    <cellStyle name="Linked Cell 5" xfId="752"/>
    <cellStyle name="Linked Cell 6" xfId="753"/>
    <cellStyle name="Linked Cell 7" xfId="754"/>
    <cellStyle name="Linked Cell 8" xfId="755"/>
    <cellStyle name="Linked Cell 9" xfId="756"/>
    <cellStyle name="LTM Cell Column Heading" xfId="757"/>
    <cellStyle name="Mik" xfId="758"/>
    <cellStyle name="Multiple Cell Column Heading" xfId="759"/>
    <cellStyle name="N" xfId="760"/>
    <cellStyle name="Neutral 10" xfId="761"/>
    <cellStyle name="Neutral 11" xfId="762"/>
    <cellStyle name="Neutral 2" xfId="763"/>
    <cellStyle name="Neutral 2 10" xfId="764"/>
    <cellStyle name="Neutral 2 11" xfId="765"/>
    <cellStyle name="Neutral 2 2" xfId="766"/>
    <cellStyle name="Neutral 2 3" xfId="767"/>
    <cellStyle name="Neutral 2 4" xfId="768"/>
    <cellStyle name="Neutral 2 5" xfId="769"/>
    <cellStyle name="Neutral 2 6" xfId="770"/>
    <cellStyle name="Neutral 2 7" xfId="771"/>
    <cellStyle name="Neutral 2 8" xfId="772"/>
    <cellStyle name="Neutral 2 9" xfId="773"/>
    <cellStyle name="Neutral 3" xfId="774"/>
    <cellStyle name="Neutral 4" xfId="775"/>
    <cellStyle name="Neutral 5" xfId="776"/>
    <cellStyle name="Neutral 6" xfId="777"/>
    <cellStyle name="Neutral 7" xfId="778"/>
    <cellStyle name="Neutral 8" xfId="779"/>
    <cellStyle name="Neutral 9" xfId="780"/>
    <cellStyle name="Normal" xfId="0" builtinId="0"/>
    <cellStyle name="Normal 10" xfId="1254"/>
    <cellStyle name="Normal 2" xfId="781"/>
    <cellStyle name="Normal 2 10" xfId="782"/>
    <cellStyle name="Normal 2 11" xfId="783"/>
    <cellStyle name="Normal 2 12" xfId="951"/>
    <cellStyle name="Normal 2 12 2" xfId="1097"/>
    <cellStyle name="Normal 2 12 2 2" xfId="1240"/>
    <cellStyle name="Normal 2 13" xfId="1248"/>
    <cellStyle name="Normal 2 2" xfId="784"/>
    <cellStyle name="Normal 2 2 2" xfId="1252"/>
    <cellStyle name="Normal 2 3" xfId="785"/>
    <cellStyle name="Normal 2 4" xfId="786"/>
    <cellStyle name="Normal 2 5" xfId="787"/>
    <cellStyle name="Normal 2 6" xfId="788"/>
    <cellStyle name="Normal 2 7" xfId="789"/>
    <cellStyle name="Normal 2 8" xfId="790"/>
    <cellStyle name="Normal 2 9" xfId="791"/>
    <cellStyle name="Normal 3" xfId="792"/>
    <cellStyle name="Normal 3 2" xfId="793"/>
    <cellStyle name="Normal 3 3" xfId="1250"/>
    <cellStyle name="Normal 4" xfId="794"/>
    <cellStyle name="Normal 5" xfId="949"/>
    <cellStyle name="Normal 5 2" xfId="1095"/>
    <cellStyle name="Normal 5 2 2" xfId="1239"/>
    <cellStyle name="Normal 6" xfId="1238"/>
    <cellStyle name="Normal 6 2" xfId="1241"/>
    <cellStyle name="Normal 7" xfId="1242"/>
    <cellStyle name="Normal 7 2" xfId="1253"/>
    <cellStyle name="Normal 8" xfId="1245"/>
    <cellStyle name="Normal 8 2" xfId="1256"/>
    <cellStyle name="Normal 9" xfId="1255"/>
    <cellStyle name="Normal millions" xfId="795"/>
    <cellStyle name="Normal no decimal" xfId="796"/>
    <cellStyle name="Normal thousands" xfId="797"/>
    <cellStyle name="Normal two decimals" xfId="798"/>
    <cellStyle name="Normal_Pipeline_consolidated 2" xfId="1249"/>
    <cellStyle name="Normal_RCP" xfId="1244"/>
    <cellStyle name="Note 10" xfId="799"/>
    <cellStyle name="Note 11" xfId="800"/>
    <cellStyle name="Note 2" xfId="801"/>
    <cellStyle name="Note 2 10" xfId="802"/>
    <cellStyle name="Note 2 11" xfId="803"/>
    <cellStyle name="Note 2 2" xfId="804"/>
    <cellStyle name="Note 2 3" xfId="805"/>
    <cellStyle name="Note 2 4" xfId="806"/>
    <cellStyle name="Note 2 5" xfId="807"/>
    <cellStyle name="Note 2 6" xfId="808"/>
    <cellStyle name="Note 2 7" xfId="809"/>
    <cellStyle name="Note 2 8" xfId="810"/>
    <cellStyle name="Note 2 9" xfId="811"/>
    <cellStyle name="Note 3" xfId="812"/>
    <cellStyle name="Note 4" xfId="813"/>
    <cellStyle name="Note 5" xfId="814"/>
    <cellStyle name="Note 6" xfId="815"/>
    <cellStyle name="Note 7" xfId="816"/>
    <cellStyle name="Note 8" xfId="817"/>
    <cellStyle name="Note 9" xfId="818"/>
    <cellStyle name="Notes_multi" xfId="819"/>
    <cellStyle name="Output 10" xfId="820"/>
    <cellStyle name="Output 11" xfId="821"/>
    <cellStyle name="Output 2" xfId="822"/>
    <cellStyle name="Output 2 10" xfId="823"/>
    <cellStyle name="Output 2 11" xfId="824"/>
    <cellStyle name="Output 2 2" xfId="825"/>
    <cellStyle name="Output 2 3" xfId="826"/>
    <cellStyle name="Output 2 4" xfId="827"/>
    <cellStyle name="Output 2 5" xfId="828"/>
    <cellStyle name="Output 2 6" xfId="829"/>
    <cellStyle name="Output 2 7" xfId="830"/>
    <cellStyle name="Output 2 8" xfId="831"/>
    <cellStyle name="Output 2 9" xfId="832"/>
    <cellStyle name="Output 3" xfId="833"/>
    <cellStyle name="Output 4" xfId="834"/>
    <cellStyle name="Output 5" xfId="835"/>
    <cellStyle name="Output 6" xfId="836"/>
    <cellStyle name="Output 7" xfId="837"/>
    <cellStyle name="Output 8" xfId="838"/>
    <cellStyle name="Output 9" xfId="839"/>
    <cellStyle name="P" xfId="840"/>
    <cellStyle name="Percent 2" xfId="841"/>
    <cellStyle name="Percent 3" xfId="842"/>
    <cellStyle name="rngLCDatePaste" xfId="843"/>
    <cellStyle name="single" xfId="844"/>
    <cellStyle name="Single Cell Column Heading" xfId="845"/>
    <cellStyle name="Style 1" xfId="846"/>
    <cellStyle name="Style1" xfId="847"/>
    <cellStyle name="Style2" xfId="848"/>
    <cellStyle name="Style3" xfId="849"/>
    <cellStyle name="Style4" xfId="850"/>
    <cellStyle name="Style5" xfId="851"/>
    <cellStyle name="Style6" xfId="852"/>
    <cellStyle name="System" xfId="853"/>
    <cellStyle name="Table Footnote" xfId="854"/>
    <cellStyle name="Table Header" xfId="855"/>
    <cellStyle name="Table Heading 1" xfId="856"/>
    <cellStyle name="Table Heading 2" xfId="857"/>
    <cellStyle name="Table Of Which" xfId="858"/>
    <cellStyle name="Table Row Billions" xfId="859"/>
    <cellStyle name="Table Row Billions Check" xfId="860"/>
    <cellStyle name="Table Row Millions" xfId="861"/>
    <cellStyle name="Table Row Millions Check" xfId="862"/>
    <cellStyle name="Table Row Percentage" xfId="863"/>
    <cellStyle name="Table Row Percentage Check" xfId="864"/>
    <cellStyle name="Table Total Billions" xfId="865"/>
    <cellStyle name="Table Total Millions" xfId="866"/>
    <cellStyle name="Table Total Percentage" xfId="867"/>
    <cellStyle name="Table Units" xfId="868"/>
    <cellStyle name="test" xfId="869"/>
    <cellStyle name="Text" xfId="870"/>
    <cellStyle name="Text Level 1" xfId="871"/>
    <cellStyle name="Text Level 2" xfId="872"/>
    <cellStyle name="Text Level 3" xfId="873"/>
    <cellStyle name="Text Level 4" xfId="874"/>
    <cellStyle name="Tickmark" xfId="875"/>
    <cellStyle name="TIME Detail" xfId="876"/>
    <cellStyle name="TIME Period Start" xfId="877"/>
    <cellStyle name="Title 10" xfId="878"/>
    <cellStyle name="Title 11" xfId="879"/>
    <cellStyle name="Title 2" xfId="880"/>
    <cellStyle name="Title 2 10" xfId="881"/>
    <cellStyle name="Title 2 11" xfId="882"/>
    <cellStyle name="Title 2 2" xfId="883"/>
    <cellStyle name="Title 2 3" xfId="884"/>
    <cellStyle name="Title 2 4" xfId="885"/>
    <cellStyle name="Title 2 5" xfId="886"/>
    <cellStyle name="Title 2 6" xfId="887"/>
    <cellStyle name="Title 2 7" xfId="888"/>
    <cellStyle name="Title 2 8" xfId="889"/>
    <cellStyle name="Title 2 9" xfId="890"/>
    <cellStyle name="Title 3" xfId="891"/>
    <cellStyle name="Title 4" xfId="892"/>
    <cellStyle name="Title 5" xfId="893"/>
    <cellStyle name="Title 6" xfId="894"/>
    <cellStyle name="Title 7" xfId="895"/>
    <cellStyle name="Title 8" xfId="896"/>
    <cellStyle name="Title 9" xfId="897"/>
    <cellStyle name="Title1" xfId="898"/>
    <cellStyle name="Title2" xfId="899"/>
    <cellStyle name="Title3" xfId="900"/>
    <cellStyle name="Title4" xfId="901"/>
    <cellStyle name="Title5" xfId="902"/>
    <cellStyle name="Title6" xfId="903"/>
    <cellStyle name="Total 10" xfId="904"/>
    <cellStyle name="Total 11" xfId="905"/>
    <cellStyle name="Total 2" xfId="906"/>
    <cellStyle name="Total 2 10" xfId="907"/>
    <cellStyle name="Total 2 11" xfId="908"/>
    <cellStyle name="Total 2 2" xfId="909"/>
    <cellStyle name="Total 2 3" xfId="910"/>
    <cellStyle name="Total 2 4" xfId="911"/>
    <cellStyle name="Total 2 5" xfId="912"/>
    <cellStyle name="Total 2 6" xfId="913"/>
    <cellStyle name="Total 2 7" xfId="914"/>
    <cellStyle name="Total 2 8" xfId="915"/>
    <cellStyle name="Total 2 9" xfId="916"/>
    <cellStyle name="Total 3" xfId="917"/>
    <cellStyle name="Total 4" xfId="918"/>
    <cellStyle name="Total 5" xfId="919"/>
    <cellStyle name="Total 6" xfId="920"/>
    <cellStyle name="Total 7" xfId="921"/>
    <cellStyle name="Total 8" xfId="922"/>
    <cellStyle name="Total 9" xfId="923"/>
    <cellStyle name="Warning Text 10" xfId="924"/>
    <cellStyle name="Warning Text 11" xfId="925"/>
    <cellStyle name="Warning Text 2" xfId="926"/>
    <cellStyle name="Warning Text 2 10" xfId="927"/>
    <cellStyle name="Warning Text 2 11" xfId="928"/>
    <cellStyle name="Warning Text 2 2" xfId="929"/>
    <cellStyle name="Warning Text 2 3" xfId="930"/>
    <cellStyle name="Warning Text 2 4" xfId="931"/>
    <cellStyle name="Warning Text 2 5" xfId="932"/>
    <cellStyle name="Warning Text 2 6" xfId="933"/>
    <cellStyle name="Warning Text 2 7" xfId="934"/>
    <cellStyle name="Warning Text 2 8" xfId="935"/>
    <cellStyle name="Warning Text 2 9" xfId="936"/>
    <cellStyle name="Warning Text 3" xfId="937"/>
    <cellStyle name="Warning Text 4" xfId="938"/>
    <cellStyle name="Warning Text 5" xfId="939"/>
    <cellStyle name="Warning Text 6" xfId="940"/>
    <cellStyle name="Warning Text 7" xfId="941"/>
    <cellStyle name="Warning Text 8" xfId="942"/>
    <cellStyle name="Warning Text 9" xfId="943"/>
    <cellStyle name="whole number" xfId="944"/>
    <cellStyle name="WIP" xfId="945"/>
    <cellStyle name="Work in progress" xfId="946"/>
    <cellStyle name="Year" xfId="947"/>
  </cellStyles>
  <dxfs count="116">
    <dxf>
      <font>
        <strike val="0"/>
        <outline val="0"/>
        <shadow val="0"/>
        <vertAlign val="baseline"/>
        <sz val="11"/>
        <name val="Calibri"/>
        <scheme val="minor"/>
      </font>
      <fill>
        <patternFill patternType="none">
          <fgColor indexed="64"/>
          <bgColor indexed="65"/>
        </patternFill>
      </fill>
    </dxf>
    <dxf>
      <font>
        <b val="0"/>
        <i val="0"/>
        <strike val="0"/>
        <condense val="0"/>
        <extend val="0"/>
        <outline val="0"/>
        <shadow val="0"/>
        <u val="none"/>
        <vertAlign val="baseline"/>
        <sz val="20"/>
        <color auto="1"/>
        <name val="Calibri"/>
        <scheme val="minor"/>
      </font>
      <fill>
        <patternFill patternType="none">
          <fgColor indexed="64"/>
          <bgColor indexed="65"/>
        </patternFill>
      </fill>
      <border diagonalUp="0" diagonalDown="0" outline="0">
        <left/>
        <right/>
        <top/>
        <bottom/>
      </border>
    </dxf>
    <dxf>
      <font>
        <strike val="0"/>
        <outline val="0"/>
        <shadow val="0"/>
        <vertAlign val="baseline"/>
        <sz val="11"/>
        <name val="Calibri"/>
        <scheme val="minor"/>
      </font>
      <fill>
        <patternFill patternType="none">
          <fgColor indexed="64"/>
          <bgColor indexed="65"/>
        </patternFill>
      </fill>
      <alignment horizontal="general" vertical="top" textRotation="0" indent="0" relativeIndent="255" justifyLastLine="0" shrinkToFit="0" mergeCell="0" readingOrder="0"/>
    </dxf>
    <dxf>
      <font>
        <b val="0"/>
        <i val="0"/>
        <strike val="0"/>
        <condense val="0"/>
        <extend val="0"/>
        <outline val="0"/>
        <shadow val="0"/>
        <u val="none"/>
        <vertAlign val="baseline"/>
        <sz val="20"/>
        <color auto="1"/>
        <name val="Calibri"/>
        <scheme val="minor"/>
      </font>
      <fill>
        <patternFill patternType="none">
          <fgColor indexed="64"/>
          <bgColor indexed="65"/>
        </patternFill>
      </fill>
      <border diagonalUp="0" diagonalDown="0" outline="0">
        <left/>
        <right/>
        <top/>
        <bottom/>
      </border>
    </dxf>
    <dxf>
      <border outline="0">
        <bottom style="medium">
          <color indexed="64"/>
        </bottom>
      </border>
    </dxf>
    <dxf>
      <font>
        <strike val="0"/>
        <outline val="0"/>
        <shadow val="0"/>
        <vertAlign val="baseline"/>
        <sz val="11"/>
        <name val="Calibri"/>
        <scheme val="minor"/>
      </font>
      <fill>
        <patternFill patternType="none">
          <fgColor indexed="64"/>
          <bgColor indexed="65"/>
        </patternFill>
      </fill>
    </dxf>
    <dxf>
      <font>
        <b val="0"/>
        <i val="0"/>
        <strike val="0"/>
        <condense val="0"/>
        <extend val="0"/>
        <outline val="0"/>
        <shadow val="0"/>
        <u val="none"/>
        <vertAlign val="baseline"/>
        <sz val="20"/>
        <color auto="1"/>
        <name val="Calibri"/>
        <scheme val="minor"/>
      </font>
      <fill>
        <patternFill patternType="none">
          <fgColor indexed="64"/>
          <bgColor indexed="65"/>
        </patternFill>
      </fill>
    </dxf>
    <dxf>
      <font>
        <strike val="0"/>
        <outline val="0"/>
        <shadow val="0"/>
        <sz val="10"/>
        <name val="Calibri"/>
        <scheme val="minor"/>
      </font>
    </dxf>
    <dxf>
      <font>
        <strike val="0"/>
        <outline val="0"/>
        <shadow val="0"/>
        <sz val="10"/>
        <name val="Calibri"/>
        <scheme val="minor"/>
      </font>
    </dxf>
    <dxf>
      <font>
        <strike val="0"/>
        <outline val="0"/>
        <shadow val="0"/>
        <sz val="10"/>
        <name val="Calibri"/>
        <scheme val="minor"/>
      </font>
    </dxf>
    <dxf>
      <font>
        <strike val="0"/>
        <outline val="0"/>
        <shadow val="0"/>
        <sz val="10"/>
        <name val="Calibri"/>
        <scheme val="minor"/>
      </font>
    </dxf>
    <dxf>
      <font>
        <strike val="0"/>
        <outline val="0"/>
        <shadow val="0"/>
        <sz val="10"/>
        <name val="Calibri"/>
        <scheme val="minor"/>
      </font>
      <numFmt numFmtId="1" formatCode="0"/>
    </dxf>
    <dxf>
      <font>
        <strike val="0"/>
        <outline val="0"/>
        <shadow val="0"/>
        <sz val="10"/>
        <name val="Calibri"/>
        <scheme val="minor"/>
      </font>
      <numFmt numFmtId="1" formatCode="0"/>
    </dxf>
    <dxf>
      <font>
        <strike val="0"/>
        <outline val="0"/>
        <shadow val="0"/>
        <sz val="10"/>
        <name val="Calibri"/>
        <scheme val="minor"/>
      </font>
      <numFmt numFmtId="1" formatCode="0"/>
    </dxf>
    <dxf>
      <font>
        <strike val="0"/>
        <outline val="0"/>
        <shadow val="0"/>
        <sz val="10"/>
        <name val="Calibri"/>
        <scheme val="minor"/>
      </font>
      <numFmt numFmtId="1" formatCode="0"/>
    </dxf>
    <dxf>
      <font>
        <strike val="0"/>
        <outline val="0"/>
        <shadow val="0"/>
        <sz val="10"/>
        <name val="Calibri"/>
        <scheme val="minor"/>
      </font>
      <numFmt numFmtId="1" formatCode="0"/>
    </dxf>
    <dxf>
      <font>
        <strike val="0"/>
        <outline val="0"/>
        <shadow val="0"/>
        <sz val="10"/>
        <name val="Calibri"/>
        <scheme val="minor"/>
      </font>
      <numFmt numFmtId="1" formatCode="0"/>
    </dxf>
    <dxf>
      <font>
        <strike val="0"/>
        <outline val="0"/>
        <shadow val="0"/>
        <sz val="10"/>
        <name val="Calibri"/>
        <scheme val="minor"/>
      </font>
      <numFmt numFmtId="1" formatCode="0"/>
    </dxf>
    <dxf>
      <font>
        <strike val="0"/>
        <outline val="0"/>
        <shadow val="0"/>
        <sz val="10"/>
        <name val="Calibri"/>
        <scheme val="minor"/>
      </font>
      <numFmt numFmtId="1" formatCode="0"/>
    </dxf>
    <dxf>
      <font>
        <strike val="0"/>
        <outline val="0"/>
        <shadow val="0"/>
        <sz val="10"/>
        <name val="Calibri"/>
        <scheme val="minor"/>
      </font>
      <numFmt numFmtId="1" formatCode="0"/>
    </dxf>
    <dxf>
      <font>
        <strike val="0"/>
        <outline val="0"/>
        <shadow val="0"/>
        <sz val="10"/>
        <name val="Calibri"/>
        <scheme val="minor"/>
      </font>
      <numFmt numFmtId="1" formatCode="0"/>
    </dxf>
    <dxf>
      <font>
        <strike val="0"/>
        <outline val="0"/>
        <shadow val="0"/>
        <sz val="10"/>
        <name val="Calibri"/>
        <scheme val="minor"/>
      </font>
      <numFmt numFmtId="1" formatCode="0"/>
    </dxf>
    <dxf>
      <font>
        <strike val="0"/>
        <outline val="0"/>
        <shadow val="0"/>
        <sz val="10"/>
        <name val="Calibri"/>
        <scheme val="minor"/>
      </font>
      <numFmt numFmtId="1" formatCode="0"/>
    </dxf>
    <dxf>
      <font>
        <strike val="0"/>
        <outline val="0"/>
        <shadow val="0"/>
        <sz val="10"/>
        <name val="Calibri"/>
        <scheme val="minor"/>
      </font>
      <numFmt numFmtId="1" formatCode="0"/>
    </dxf>
    <dxf>
      <font>
        <strike val="0"/>
        <outline val="0"/>
        <shadow val="0"/>
        <sz val="10"/>
        <name val="Calibri"/>
        <scheme val="minor"/>
      </font>
      <numFmt numFmtId="1" formatCode="0"/>
    </dxf>
    <dxf>
      <font>
        <strike val="0"/>
        <outline val="0"/>
        <shadow val="0"/>
        <sz val="10"/>
        <name val="Calibri"/>
        <scheme val="minor"/>
      </font>
      <numFmt numFmtId="1" formatCode="0"/>
    </dxf>
    <dxf>
      <font>
        <strike val="0"/>
        <outline val="0"/>
        <shadow val="0"/>
        <sz val="10"/>
        <name val="Calibri"/>
        <scheme val="minor"/>
      </font>
      <numFmt numFmtId="1" formatCode="0"/>
    </dxf>
    <dxf>
      <font>
        <strike val="0"/>
        <outline val="0"/>
        <shadow val="0"/>
        <sz val="10"/>
        <name val="Calibri"/>
        <scheme val="minor"/>
      </font>
      <numFmt numFmtId="1" formatCode="0"/>
    </dxf>
    <dxf>
      <font>
        <strike val="0"/>
        <outline val="0"/>
        <shadow val="0"/>
        <sz val="10"/>
        <name val="Calibri"/>
        <scheme val="minor"/>
      </font>
      <numFmt numFmtId="1" formatCode="0"/>
    </dxf>
    <dxf>
      <font>
        <strike val="0"/>
        <outline val="0"/>
        <shadow val="0"/>
        <sz val="10"/>
        <name val="Calibri"/>
        <scheme val="minor"/>
      </font>
      <numFmt numFmtId="1" formatCode="0"/>
    </dxf>
    <dxf>
      <font>
        <strike val="0"/>
        <outline val="0"/>
        <shadow val="0"/>
        <sz val="10"/>
        <name val="Calibri"/>
        <scheme val="minor"/>
      </font>
      <numFmt numFmtId="1" formatCode="0"/>
    </dxf>
    <dxf>
      <font>
        <strike val="0"/>
        <outline val="0"/>
        <shadow val="0"/>
        <sz val="10"/>
        <name val="Calibri"/>
        <scheme val="minor"/>
      </font>
      <numFmt numFmtId="1" formatCode="0"/>
    </dxf>
    <dxf>
      <font>
        <strike val="0"/>
        <outline val="0"/>
        <shadow val="0"/>
        <sz val="10"/>
        <name val="Calibri"/>
        <scheme val="minor"/>
      </font>
      <numFmt numFmtId="1" formatCode="0"/>
    </dxf>
    <dxf>
      <font>
        <strike val="0"/>
        <outline val="0"/>
        <shadow val="0"/>
        <sz val="10"/>
        <name val="Calibri"/>
        <scheme val="minor"/>
      </font>
      <numFmt numFmtId="1" formatCode="0"/>
    </dxf>
    <dxf>
      <font>
        <strike val="0"/>
        <outline val="0"/>
        <shadow val="0"/>
        <sz val="10"/>
        <name val="Calibri"/>
        <scheme val="minor"/>
      </font>
      <numFmt numFmtId="1" formatCode="0"/>
    </dxf>
    <dxf>
      <font>
        <strike val="0"/>
        <outline val="0"/>
        <shadow val="0"/>
        <sz val="10"/>
        <name val="Calibri"/>
        <scheme val="minor"/>
      </font>
      <numFmt numFmtId="1" formatCode="0"/>
    </dxf>
    <dxf>
      <font>
        <strike val="0"/>
        <outline val="0"/>
        <shadow val="0"/>
        <sz val="10"/>
        <name val="Calibri"/>
        <scheme val="minor"/>
      </font>
      <numFmt numFmtId="1" formatCode="0"/>
    </dxf>
    <dxf>
      <font>
        <strike val="0"/>
        <outline val="0"/>
        <shadow val="0"/>
        <sz val="10"/>
        <name val="Calibri"/>
        <scheme val="minor"/>
      </font>
      <numFmt numFmtId="1" formatCode="0"/>
    </dxf>
    <dxf>
      <font>
        <strike val="0"/>
        <outline val="0"/>
        <shadow val="0"/>
        <sz val="10"/>
        <name val="Calibri"/>
        <scheme val="minor"/>
      </font>
      <numFmt numFmtId="1" formatCode="0"/>
    </dxf>
    <dxf>
      <font>
        <strike val="0"/>
        <outline val="0"/>
        <shadow val="0"/>
        <sz val="10"/>
        <name val="Calibri"/>
        <scheme val="minor"/>
      </font>
      <numFmt numFmtId="1" formatCode="0"/>
    </dxf>
    <dxf>
      <font>
        <strike val="0"/>
        <outline val="0"/>
        <shadow val="0"/>
        <sz val="10"/>
        <name val="Calibri"/>
        <scheme val="minor"/>
      </font>
      <numFmt numFmtId="1" formatCode="0"/>
    </dxf>
    <dxf>
      <font>
        <b val="0"/>
        <i val="0"/>
        <strike val="0"/>
        <condense val="0"/>
        <extend val="0"/>
        <outline val="0"/>
        <shadow val="0"/>
        <u val="none"/>
        <vertAlign val="baseline"/>
        <sz val="10"/>
        <color auto="1"/>
        <name val="Calibri"/>
        <scheme val="minor"/>
      </font>
    </dxf>
    <dxf>
      <font>
        <strike val="0"/>
        <outline val="0"/>
        <shadow val="0"/>
        <sz val="10"/>
        <name val="Calibri"/>
        <scheme val="minor"/>
      </font>
    </dxf>
    <dxf>
      <font>
        <strike val="0"/>
        <outline val="0"/>
        <shadow val="0"/>
        <sz val="10"/>
        <name val="Calibri"/>
        <scheme val="minor"/>
      </font>
    </dxf>
    <dxf>
      <font>
        <b val="0"/>
        <i val="0"/>
        <strike val="0"/>
        <condense val="0"/>
        <extend val="0"/>
        <outline val="0"/>
        <shadow val="0"/>
        <u val="none"/>
        <vertAlign val="baseline"/>
        <sz val="11"/>
        <color auto="1"/>
        <name val="Calibri"/>
        <scheme val="minor"/>
      </font>
      <fill>
        <patternFill patternType="solid">
          <fgColor indexed="64"/>
          <bgColor rgb="FF92D050"/>
        </patternFill>
      </fill>
      <alignment horizontal="center" vertical="center" textRotation="0" wrapText="1" indent="0" relativeIndent="0" justifyLastLine="0" shrinkToFit="0" mergeCell="0" readingOrder="0"/>
      <border diagonalUp="0" diagonalDown="0" outline="0">
        <left/>
        <right/>
        <top/>
        <bottom/>
      </border>
    </dxf>
    <dxf>
      <font>
        <b val="0"/>
        <i val="0"/>
        <strike val="0"/>
        <condense val="0"/>
        <extend val="0"/>
        <outline val="0"/>
        <shadow val="0"/>
        <u val="none"/>
        <vertAlign val="baseline"/>
        <sz val="11"/>
        <color auto="1"/>
        <name val="Calibri"/>
        <scheme val="minor"/>
      </font>
      <numFmt numFmtId="202" formatCode="&quot;£&quot;#,##0\ \m"/>
      <fill>
        <patternFill patternType="solid">
          <fgColor indexed="64"/>
          <bgColor rgb="FF92D050"/>
        </patternFill>
      </fill>
      <alignment horizontal="center" vertical="center" textRotation="0" wrapText="0" indent="0" relativeIndent="255" justifyLastLine="0" shrinkToFit="0" mergeCell="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general" vertical="center" textRotation="0" wrapText="1" indent="0" relativeIndent="255" justifyLastLine="0" shrinkToFit="0" mergeCell="0" readingOrder="0"/>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relativeIndent="255" justifyLastLine="0" shrinkToFit="0" mergeCell="0" readingOrder="0"/>
    </dxf>
    <dxf>
      <font>
        <b val="0"/>
        <i val="0"/>
        <strike val="0"/>
        <condense val="0"/>
        <extend val="0"/>
        <outline val="0"/>
        <shadow val="0"/>
        <u val="none"/>
        <vertAlign val="baseline"/>
        <sz val="10"/>
        <color auto="1"/>
        <name val="Calibri"/>
        <scheme val="minor"/>
      </font>
      <numFmt numFmtId="165" formatCode="yyyy"/>
      <fill>
        <patternFill patternType="none">
          <fgColor indexed="64"/>
          <bgColor indexed="65"/>
        </patternFill>
      </fill>
      <alignment horizontal="left" vertical="center" textRotation="0" wrapText="1" indent="0" relativeIndent="0" justifyLastLine="0" shrinkToFit="0" mergeCell="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202" formatCode="&quot;£&quot;#,##0\ \m"/>
      <fill>
        <patternFill patternType="none">
          <fgColor indexed="64"/>
          <bgColor indexed="65"/>
        </patternFill>
      </fill>
      <alignment horizontal="center" vertical="center" textRotation="0" wrapText="1" indent="0" relativeIndent="255" justifyLastLine="0" shrinkToFit="0" mergeCell="0" readingOrder="0"/>
    </dxf>
    <dxf>
      <font>
        <b val="0"/>
        <i val="0"/>
        <strike val="0"/>
        <condense val="0"/>
        <extend val="0"/>
        <outline val="0"/>
        <shadow val="0"/>
        <u val="none"/>
        <vertAlign val="baseline"/>
        <sz val="11"/>
        <color auto="1"/>
        <name val="Calibri"/>
        <scheme val="minor"/>
      </font>
      <numFmt numFmtId="165" formatCode="yyyy"/>
      <fill>
        <patternFill patternType="none">
          <fgColor indexed="64"/>
          <bgColor indexed="65"/>
        </patternFill>
      </fill>
      <alignment horizontal="center" vertical="center" textRotation="0" wrapText="1" indent="0" relativeIndent="0" justifyLastLine="0" shrinkToFit="0" mergeCell="0" readingOrder="0"/>
      <border diagonalUp="0" diagonalDown="0" outline="0">
        <left/>
        <right/>
        <top/>
        <bottom/>
      </border>
      <protection locked="1" hidden="0"/>
    </dxf>
    <dxf>
      <font>
        <b val="0"/>
        <i val="0"/>
        <strike val="0"/>
        <condense val="0"/>
        <extend val="0"/>
        <outline val="0"/>
        <shadow val="0"/>
        <u val="none"/>
        <vertAlign val="baseline"/>
        <sz val="11"/>
        <color auto="1"/>
        <name val="Calibri"/>
        <scheme val="minor"/>
      </font>
      <numFmt numFmtId="165" formatCode="yyyy"/>
      <fill>
        <patternFill patternType="none">
          <fgColor indexed="64"/>
          <bgColor indexed="65"/>
        </patternFill>
      </fill>
      <alignment horizontal="center" vertical="center" textRotation="0" wrapText="1" indent="0" relativeIndent="255" justifyLastLine="0" shrinkToFit="0" mergeCell="0" readingOrder="0"/>
    </dxf>
    <dxf>
      <font>
        <b val="0"/>
        <i val="0"/>
        <strike val="0"/>
        <condense val="0"/>
        <extend val="0"/>
        <outline val="0"/>
        <shadow val="0"/>
        <u val="none"/>
        <vertAlign val="baseline"/>
        <sz val="11"/>
        <color auto="1"/>
        <name val="Calibri"/>
        <scheme val="minor"/>
      </font>
      <numFmt numFmtId="164" formatCode="&quot;£&quot;#,##0.00\ \m"/>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dxf>
      <font>
        <b val="0"/>
        <i val="0"/>
        <strike val="0"/>
        <condense val="0"/>
        <extend val="0"/>
        <outline val="0"/>
        <shadow val="0"/>
        <u val="none"/>
        <vertAlign val="baseline"/>
        <sz val="11"/>
        <color auto="1"/>
        <name val="Calibri"/>
        <scheme val="minor"/>
      </font>
      <numFmt numFmtId="164" formatCode="&quot;£&quot;#,##0.00\ \m"/>
      <fill>
        <patternFill patternType="none">
          <fgColor indexed="64"/>
          <bgColor indexed="65"/>
        </patternFill>
      </fill>
      <alignment horizontal="center" vertical="center" textRotation="0" wrapText="1" indent="0" relativeIndent="255" justifyLastLine="0" shrinkToFit="0" mergeCell="0" readingOrder="0"/>
    </dxf>
    <dxf>
      <font>
        <b val="0"/>
        <i val="0"/>
        <strike val="0"/>
        <condense val="0"/>
        <extend val="0"/>
        <outline val="0"/>
        <shadow val="0"/>
        <u val="none"/>
        <vertAlign val="baseline"/>
        <sz val="11"/>
        <color auto="1"/>
        <name val="Calibri"/>
        <scheme val="minor"/>
      </font>
      <numFmt numFmtId="164" formatCode="&quot;£&quot;#,##0.00\ \m"/>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dxf>
    <dxf>
      <font>
        <b val="0"/>
        <i val="0"/>
        <strike val="0"/>
        <condense val="0"/>
        <extend val="0"/>
        <outline val="0"/>
        <shadow val="0"/>
        <u val="none"/>
        <vertAlign val="baseline"/>
        <sz val="11"/>
        <color auto="1"/>
        <name val="Calibri"/>
        <scheme val="minor"/>
      </font>
      <numFmt numFmtId="164" formatCode="&quot;£&quot;#,##0.00\ \m"/>
      <fill>
        <patternFill patternType="none">
          <fgColor indexed="64"/>
          <bgColor indexed="65"/>
        </patternFill>
      </fill>
      <alignment horizontal="center" vertical="center" textRotation="0" wrapText="1" indent="0" relativeIndent="255" justifyLastLine="0" shrinkToFit="0" mergeCell="0" readingOrder="0"/>
    </dxf>
    <dxf>
      <font>
        <b val="0"/>
        <i val="0"/>
        <strike val="0"/>
        <condense val="0"/>
        <extend val="0"/>
        <outline val="0"/>
        <shadow val="0"/>
        <u val="none"/>
        <vertAlign val="baseline"/>
        <sz val="11"/>
        <color auto="1"/>
        <name val="Calibri"/>
        <scheme val="minor"/>
      </font>
      <numFmt numFmtId="164" formatCode="&quot;£&quot;#,##0.00\ \m"/>
      <fill>
        <patternFill patternType="none">
          <fgColor indexed="64"/>
          <bgColor indexed="65"/>
        </patternFill>
      </fill>
      <alignment horizontal="right" vertical="center" textRotation="0" wrapText="1" indent="0" relativeIndent="0" justifyLastLine="0" shrinkToFit="0" mergeCell="0" readingOrder="0"/>
      <border diagonalUp="0" diagonalDown="0" outline="0">
        <left/>
        <right/>
        <top/>
        <bottom/>
      </border>
      <protection locked="1" hidden="0"/>
    </dxf>
    <dxf>
      <font>
        <b val="0"/>
        <i val="0"/>
        <strike val="0"/>
        <condense val="0"/>
        <extend val="0"/>
        <outline val="0"/>
        <shadow val="0"/>
        <u val="none"/>
        <vertAlign val="baseline"/>
        <sz val="11"/>
        <color auto="1"/>
        <name val="Calibri"/>
        <scheme val="minor"/>
      </font>
      <numFmt numFmtId="164" formatCode="&quot;£&quot;#,##0.00\ \m"/>
      <fill>
        <patternFill patternType="none">
          <fgColor indexed="64"/>
          <bgColor rgb="FFFFFF00"/>
        </patternFill>
      </fill>
      <alignment horizontal="right" vertical="center" textRotation="0" wrapText="1" indent="0" relativeIndent="255" justifyLastLine="0" shrinkToFit="0" mergeCell="0" readingOrder="0"/>
    </dxf>
    <dxf>
      <font>
        <b val="0"/>
        <i val="0"/>
        <strike val="0"/>
        <condense val="0"/>
        <extend val="0"/>
        <outline val="0"/>
        <shadow val="0"/>
        <u val="none"/>
        <vertAlign val="baseline"/>
        <sz val="11"/>
        <color auto="1"/>
        <name val="Calibri"/>
        <scheme val="minor"/>
      </font>
      <numFmt numFmtId="164" formatCode="&quot;£&quot;#,##0.00\ \m"/>
      <fill>
        <patternFill patternType="none">
          <fgColor indexed="64"/>
          <bgColor indexed="65"/>
        </patternFill>
      </fill>
      <alignment horizontal="right" vertical="center" textRotation="0" wrapText="1" indent="0" relativeIndent="0" justifyLastLine="0" shrinkToFit="0" mergeCell="0" readingOrder="0"/>
      <border diagonalUp="0" diagonalDown="0" outline="0">
        <left/>
        <right/>
        <top/>
        <bottom/>
      </border>
      <protection locked="1" hidden="0"/>
    </dxf>
    <dxf>
      <font>
        <b val="0"/>
        <i val="0"/>
        <strike val="0"/>
        <condense val="0"/>
        <extend val="0"/>
        <outline val="0"/>
        <shadow val="0"/>
        <u val="none"/>
        <vertAlign val="baseline"/>
        <sz val="11"/>
        <color auto="1"/>
        <name val="Calibri"/>
        <scheme val="minor"/>
      </font>
      <numFmt numFmtId="164" formatCode="&quot;£&quot;#,##0.00\ \m"/>
      <fill>
        <patternFill patternType="none">
          <fgColor indexed="64"/>
          <bgColor indexed="65"/>
        </patternFill>
      </fill>
      <alignment horizontal="right" vertical="center" textRotation="0" wrapText="1" indent="0" relativeIndent="255" justifyLastLine="0" shrinkToFit="0" mergeCell="0" readingOrder="0"/>
    </dxf>
    <dxf>
      <font>
        <b val="0"/>
        <i val="0"/>
        <strike val="0"/>
        <condense val="0"/>
        <extend val="0"/>
        <outline val="0"/>
        <shadow val="0"/>
        <u val="none"/>
        <vertAlign val="baseline"/>
        <sz val="11"/>
        <color auto="1"/>
        <name val="Calibri"/>
        <scheme val="minor"/>
      </font>
      <numFmt numFmtId="164" formatCode="&quot;£&quot;#,##0.00\ \m"/>
      <fill>
        <patternFill patternType="none">
          <fgColor indexed="64"/>
          <bgColor indexed="65"/>
        </patternFill>
      </fill>
      <alignment horizontal="right" vertical="center" textRotation="0" wrapText="1" indent="0" relativeIndent="0" justifyLastLine="0" shrinkToFit="0" mergeCell="0" readingOrder="0"/>
      <border diagonalUp="0" diagonalDown="0" outline="0">
        <left/>
        <right/>
        <top/>
        <bottom/>
      </border>
      <protection locked="1" hidden="0"/>
    </dxf>
    <dxf>
      <font>
        <b val="0"/>
        <i val="0"/>
        <strike val="0"/>
        <condense val="0"/>
        <extend val="0"/>
        <outline val="0"/>
        <shadow val="0"/>
        <u val="none"/>
        <vertAlign val="baseline"/>
        <sz val="11"/>
        <color auto="1"/>
        <name val="Calibri"/>
        <scheme val="minor"/>
      </font>
      <numFmt numFmtId="164" formatCode="&quot;£&quot;#,##0.00\ \m"/>
      <fill>
        <patternFill patternType="none">
          <fgColor indexed="64"/>
          <bgColor indexed="65"/>
        </patternFill>
      </fill>
      <alignment horizontal="right" vertical="center" textRotation="0" wrapText="1" indent="0" relativeIndent="255" justifyLastLine="0" shrinkToFit="0" mergeCell="0" readingOrder="0"/>
    </dxf>
    <dxf>
      <font>
        <b val="0"/>
        <i val="0"/>
        <strike val="0"/>
        <condense val="0"/>
        <extend val="0"/>
        <outline val="0"/>
        <shadow val="0"/>
        <u val="none"/>
        <vertAlign val="baseline"/>
        <sz val="11"/>
        <color auto="1"/>
        <name val="Calibri"/>
        <scheme val="minor"/>
      </font>
      <numFmt numFmtId="164" formatCode="&quot;£&quot;#,##0.00\ \m"/>
      <fill>
        <patternFill patternType="none">
          <fgColor indexed="64"/>
          <bgColor indexed="65"/>
        </patternFill>
      </fill>
      <alignment horizontal="right" vertical="center" textRotation="0" wrapText="1" indent="0" relativeIndent="0" justifyLastLine="0" shrinkToFit="0" mergeCell="0" readingOrder="0"/>
      <border diagonalUp="0" diagonalDown="0" outline="0">
        <left/>
        <right/>
        <top/>
        <bottom/>
      </border>
      <protection locked="1" hidden="0"/>
    </dxf>
    <dxf>
      <font>
        <b val="0"/>
        <i val="0"/>
        <strike val="0"/>
        <condense val="0"/>
        <extend val="0"/>
        <outline val="0"/>
        <shadow val="0"/>
        <u val="none"/>
        <vertAlign val="baseline"/>
        <sz val="11"/>
        <color auto="1"/>
        <name val="Calibri"/>
        <scheme val="minor"/>
      </font>
      <numFmt numFmtId="164" formatCode="&quot;£&quot;#,##0.00\ \m"/>
      <fill>
        <patternFill patternType="none">
          <fgColor indexed="64"/>
          <bgColor indexed="65"/>
        </patternFill>
      </fill>
      <alignment horizontal="right" vertical="center" textRotation="0" wrapText="1" indent="0" relativeIndent="255" justifyLastLine="0" shrinkToFit="0" mergeCell="0" readingOrder="0"/>
    </dxf>
    <dxf>
      <font>
        <b val="0"/>
        <i val="0"/>
        <strike val="0"/>
        <condense val="0"/>
        <extend val="0"/>
        <outline val="0"/>
        <shadow val="0"/>
        <u val="none"/>
        <vertAlign val="baseline"/>
        <sz val="11"/>
        <color auto="1"/>
        <name val="Calibri"/>
        <scheme val="minor"/>
      </font>
      <numFmt numFmtId="164" formatCode="&quot;£&quot;#,##0.00\ \m"/>
      <fill>
        <patternFill patternType="none">
          <fgColor indexed="64"/>
          <bgColor indexed="65"/>
        </patternFill>
      </fill>
      <alignment horizontal="right" vertical="center" textRotation="0" wrapText="1" indent="0" relativeIndent="0" justifyLastLine="0" shrinkToFit="0" mergeCell="0" readingOrder="0"/>
      <border diagonalUp="0" diagonalDown="0" outline="0">
        <left/>
        <right/>
        <top/>
        <bottom/>
      </border>
      <protection locked="1" hidden="0"/>
    </dxf>
    <dxf>
      <font>
        <b val="0"/>
        <i val="0"/>
        <strike val="0"/>
        <condense val="0"/>
        <extend val="0"/>
        <outline val="0"/>
        <shadow val="0"/>
        <u val="none"/>
        <vertAlign val="baseline"/>
        <sz val="11"/>
        <color auto="1"/>
        <name val="Calibri"/>
        <scheme val="minor"/>
      </font>
      <numFmt numFmtId="164" formatCode="&quot;£&quot;#,##0.00\ \m"/>
      <fill>
        <patternFill patternType="none">
          <fgColor indexed="64"/>
          <bgColor indexed="65"/>
        </patternFill>
      </fill>
      <alignment horizontal="right" vertical="center" textRotation="0" wrapText="1" indent="0" relativeIndent="255" justifyLastLine="0" shrinkToFit="0" mergeCell="0" readingOrder="0"/>
    </dxf>
    <dxf>
      <font>
        <b val="0"/>
        <i val="0"/>
        <strike val="0"/>
        <condense val="0"/>
        <extend val="0"/>
        <outline val="0"/>
        <shadow val="0"/>
        <u val="none"/>
        <vertAlign val="baseline"/>
        <sz val="11"/>
        <color auto="1"/>
        <name val="Calibri"/>
        <scheme val="minor"/>
      </font>
      <numFmt numFmtId="164" formatCode="&quot;£&quot;#,##0.00\ \m"/>
      <fill>
        <patternFill patternType="none">
          <fgColor indexed="64"/>
          <bgColor indexed="65"/>
        </patternFill>
      </fill>
      <alignment horizontal="right" vertical="center" textRotation="0" wrapText="1" indent="0" relativeIndent="0" justifyLastLine="0" shrinkToFit="0" mergeCell="0" readingOrder="0"/>
      <border diagonalUp="0" diagonalDown="0" outline="0">
        <left/>
        <right/>
        <top/>
        <bottom/>
      </border>
      <protection locked="1" hidden="0"/>
    </dxf>
    <dxf>
      <font>
        <b val="0"/>
        <i val="0"/>
        <strike val="0"/>
        <condense val="0"/>
        <extend val="0"/>
        <outline val="0"/>
        <shadow val="0"/>
        <u val="none"/>
        <vertAlign val="baseline"/>
        <sz val="11"/>
        <color auto="1"/>
        <name val="Calibri"/>
        <scheme val="minor"/>
      </font>
      <numFmt numFmtId="164" formatCode="&quot;£&quot;#,##0.00\ \m"/>
      <fill>
        <patternFill patternType="none">
          <fgColor indexed="64"/>
          <bgColor theme="2" tint="-0.249977111117893"/>
        </patternFill>
      </fill>
      <alignment horizontal="right" vertical="center" textRotation="0" wrapText="1" indent="0" relativeIndent="255" justifyLastLine="0" shrinkToFit="0" mergeCell="0" readingOrder="0"/>
    </dxf>
    <dxf>
      <font>
        <b val="0"/>
        <i val="0"/>
        <strike val="0"/>
        <condense val="0"/>
        <extend val="0"/>
        <outline val="0"/>
        <shadow val="0"/>
        <u val="none"/>
        <vertAlign val="baseline"/>
        <sz val="11"/>
        <color auto="1"/>
        <name val="Calibri"/>
        <scheme val="minor"/>
      </font>
      <numFmt numFmtId="164" formatCode="&quot;£&quot;#,##0.00\ \m"/>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dxf>
      <font>
        <b val="0"/>
        <i val="0"/>
        <strike val="0"/>
        <condense val="0"/>
        <extend val="0"/>
        <outline val="0"/>
        <shadow val="0"/>
        <u val="none"/>
        <vertAlign val="baseline"/>
        <sz val="11"/>
        <color auto="1"/>
        <name val="Calibri"/>
        <scheme val="minor"/>
      </font>
      <numFmt numFmtId="164" formatCode="&quot;£&quot;#,##0.00\ \m"/>
      <fill>
        <patternFill patternType="none">
          <fgColor indexed="64"/>
          <bgColor indexed="65"/>
        </patternFill>
      </fill>
      <alignment horizontal="general" vertical="center" textRotation="0" wrapText="1" indent="0" relativeIndent="255" justifyLastLine="0" shrinkToFit="0" mergeCell="0" readingOrder="0"/>
    </dxf>
    <dxf>
      <font>
        <b val="0"/>
        <i val="0"/>
        <strike val="0"/>
        <condense val="0"/>
        <extend val="0"/>
        <outline val="0"/>
        <shadow val="0"/>
        <u val="none"/>
        <vertAlign val="baseline"/>
        <sz val="11"/>
        <color auto="1"/>
        <name val="Calibri"/>
        <scheme val="minor"/>
      </font>
      <numFmt numFmtId="164" formatCode="&quot;£&quot;#,##0.00\ \m"/>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dxf>
      <font>
        <b val="0"/>
        <i val="0"/>
        <strike val="0"/>
        <condense val="0"/>
        <extend val="0"/>
        <outline val="0"/>
        <shadow val="0"/>
        <u val="none"/>
        <vertAlign val="baseline"/>
        <sz val="11"/>
        <color auto="1"/>
        <name val="Calibri"/>
        <scheme val="minor"/>
      </font>
      <numFmt numFmtId="164" formatCode="&quot;£&quot;#,##0.00\ \m"/>
      <fill>
        <patternFill patternType="none">
          <fgColor indexed="64"/>
          <bgColor indexed="65"/>
        </patternFill>
      </fill>
      <alignment horizontal="right" vertical="center" textRotation="0" wrapText="1" indent="0" relativeIndent="255" justifyLastLine="0" shrinkToFit="0" mergeCell="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relativeIndent="0" justifyLastLine="0" shrinkToFit="0" mergeCell="0" readingOrder="0"/>
      <border diagonalUp="0" diagonalDown="0" outline="0">
        <left/>
        <right/>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0" indent="0" relativeIndent="255" justifyLastLine="0" shrinkToFit="0" mergeCell="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relativeIndent="0" justifyLastLine="0" shrinkToFit="0" mergeCell="0" readingOrder="0"/>
      <border diagonalUp="0" diagonalDown="0" outline="0">
        <left/>
        <right/>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0" indent="0" relativeIndent="255" justifyLastLine="0" shrinkToFit="0" mergeCell="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relativeIndent="0" justifyLastLine="0" shrinkToFit="0" mergeCell="0" readingOrder="0"/>
      <border diagonalUp="0" diagonalDown="0" outline="0">
        <left/>
        <right/>
        <top/>
        <bottom/>
      </border>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relativeIndent="255" justifyLastLine="0" shrinkToFit="0" mergeCell="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relativeIndent="0" justifyLastLine="0" shrinkToFit="0" mergeCell="0" readingOrder="0"/>
      <border diagonalUp="0" diagonalDown="0" outline="0">
        <left/>
        <right/>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relativeIndent="255" justifyLastLine="0" shrinkToFit="0" mergeCell="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relativeIndent="0" justifyLastLine="0" shrinkToFit="0" mergeCell="0" readingOrder="0"/>
      <border diagonalUp="0" diagonalDown="0" outline="0">
        <left/>
        <right/>
        <top/>
        <bottom/>
      </border>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relativeIndent="255" justifyLastLine="0" shrinkToFit="0" mergeCell="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relativeIndent="0" justifyLastLine="0" shrinkToFit="0" mergeCell="0" readingOrder="0"/>
      <border diagonalUp="0" diagonalDown="0" outline="0">
        <left/>
        <right/>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relativeIndent="255" justifyLastLine="0" shrinkToFit="0" mergeCell="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relativeIndent="0" justifyLastLine="0" shrinkToFit="0" mergeCell="0" readingOrder="0"/>
      <border diagonalUp="0" diagonalDown="0" outline="0">
        <left/>
        <right/>
        <top/>
        <bottom/>
      </border>
      <protection locked="1" hidden="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relativeIndent="255" justifyLastLine="0" shrinkToFit="0" mergeCell="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center" textRotation="0" wrapText="1" indent="0" relativeIndent="255" justifyLastLine="0" shrinkToFit="0" mergeCell="0" readingOrder="0"/>
      <protection locked="1"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general" vertical="center" textRotation="0" wrapText="1" indent="0" relativeIndent="255" justifyLastLine="0" shrinkToFit="0" mergeCell="0" readingOrder="0"/>
      <protection locked="1"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relativeIndent="0" justifyLastLine="0" shrinkToFit="0" mergeCell="0" readingOrder="0"/>
      <border diagonalUp="0" diagonalDown="0" outline="0">
        <left/>
        <right/>
        <top/>
        <bottom/>
      </border>
      <protection locked="1"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relativeIndent="255" justifyLastLine="0" shrinkToFit="0" mergeCell="0" readingOrder="0"/>
      <protection locked="1"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general" vertical="center" textRotation="0" wrapText="1" indent="0" relativeIndent="255" justifyLastLine="0" shrinkToFit="0" mergeCell="0" readingOrder="0"/>
      <protection locked="1"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general" vertical="center" textRotation="0" wrapText="1" indent="0" relativeIndent="255" justifyLastLine="0" shrinkToFit="0" mergeCell="0" readingOrder="0"/>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relativeIndent="255" justifyLastLine="0" shrinkToFit="0" mergeCell="0" readingOrder="0"/>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right/>
        <top/>
        <bottom/>
      </border>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relativeIndent="255" justifyLastLine="0" shrinkToFit="0" mergeCell="0" readingOrder="0"/>
      <protection locked="1" hidden="0"/>
    </dxf>
    <dxf>
      <border outline="0">
        <top style="thin">
          <color indexed="64"/>
        </top>
      </border>
    </dxf>
    <dxf>
      <font>
        <b val="0"/>
        <strike val="0"/>
        <outline val="0"/>
        <shadow val="0"/>
        <vertAlign val="baseline"/>
        <sz val="11"/>
        <color auto="1"/>
        <name val="Calibri"/>
        <scheme val="minor"/>
      </font>
      <fill>
        <patternFill patternType="none">
          <fgColor indexed="64"/>
          <bgColor indexed="65"/>
        </patternFill>
      </fill>
      <alignment horizontal="general" vertical="center" textRotation="0" wrapText="1" indent="0" relativeIndent="255" justifyLastLine="0" shrinkToFit="0" mergeCell="0" readingOrder="0"/>
      <border diagonalUp="0" diagonalDown="0" outline="0">
        <left style="thin">
          <color indexed="64"/>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relativeIndent="255" justifyLastLine="0" shrinkToFit="0" mergeCell="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auto="1"/>
        <name val="Calibri"/>
        <scheme val="minor"/>
      </font>
      <fill>
        <patternFill patternType="solid">
          <fgColor theme="4"/>
          <bgColor theme="4"/>
        </patternFill>
      </fill>
      <alignment horizontal="center" vertical="center" textRotation="0" wrapText="1" indent="0" relativeIndent="255" justifyLastLine="0" shrinkToFit="0" mergeCell="0" readingOrder="0"/>
      <border diagonalUp="0" diagonalDown="0" outline="0">
        <left style="thin">
          <color theme="0"/>
        </left>
        <right style="thin">
          <color theme="0"/>
        </right>
        <top/>
        <bottom/>
      </border>
    </dxf>
    <dxf>
      <alignment horizontal="center" readingOrder="0"/>
    </dxf>
    <dxf>
      <alignment horizontal="center" readingOrder="0"/>
    </dxf>
    <dxf>
      <alignment vertical="bottom" readingOrder="0"/>
    </dxf>
    <dxf>
      <alignment vertical="bottom" readingOrder="0"/>
    </dxf>
    <dxf>
      <font>
        <b/>
      </font>
    </dxf>
    <dxf>
      <font>
        <b/>
      </font>
    </dxf>
    <dxf>
      <fill>
        <patternFill patternType="none">
          <bgColor auto="1"/>
        </patternFill>
      </fill>
    </dxf>
    <dxf>
      <alignment wrapText="1" readingOrder="0"/>
    </dxf>
    <dxf>
      <alignment wrapText="1" readingOrder="0"/>
    </dxf>
  </dxfs>
  <tableStyles count="0" defaultTableStyle="TableStyleMedium9" defaultPivotStyle="PivotStyleLight16"/>
  <colors>
    <mruColors>
      <color rgb="FFFF2D2D"/>
      <color rgb="FFC40012"/>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66675</xdr:rowOff>
    </xdr:from>
    <xdr:to>
      <xdr:col>0</xdr:col>
      <xdr:colOff>1550670</xdr:colOff>
      <xdr:row>1</xdr:row>
      <xdr:rowOff>441325</xdr:rowOff>
    </xdr:to>
    <xdr:pic>
      <xdr:nvPicPr>
        <xdr:cNvPr id="3" name="Picture 2" descr="HM Treasury"/>
        <xdr:cNvPicPr/>
      </xdr:nvPicPr>
      <xdr:blipFill>
        <a:blip xmlns:r="http://schemas.openxmlformats.org/officeDocument/2006/relationships" r:embed="rId1" cstate="print"/>
        <a:srcRect/>
        <a:stretch>
          <a:fillRect/>
        </a:stretch>
      </xdr:blipFill>
      <xdr:spPr bwMode="auto">
        <a:xfrm>
          <a:off x="76200" y="66675"/>
          <a:ext cx="1474470" cy="6699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asisdata6\homedirs\Program%20Files\FileNET\IDM\Cache\2003012410152300001\all%20the%20chart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refreshError="1"/>
      <sheetData sheetId="15"/>
      <sheetData sheetId="16"/>
      <sheetData sheetId="17">
        <row r="4">
          <cell r="A4">
            <v>35877</v>
          </cell>
          <cell r="D4">
            <v>33091</v>
          </cell>
          <cell r="G4">
            <v>33092</v>
          </cell>
          <cell r="J4">
            <v>33973</v>
          </cell>
          <cell r="M4">
            <v>34096</v>
          </cell>
        </row>
      </sheetData>
      <sheetData sheetId="18"/>
      <sheetData sheetId="19"/>
      <sheetData sheetId="20"/>
      <sheetData sheetId="2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1612.367874884258" createdVersion="3" refreshedVersion="3" minRefreshableVersion="3" recordCount="646">
  <cacheSource type="worksheet">
    <worksheetSource name="NIP2013_Pipeline"/>
  </cacheSource>
  <cacheFields count="38">
    <cacheField name="Sector" numFmtId="0">
      <sharedItems count="7">
        <s v="Communications"/>
        <s v="Energy"/>
        <s v="Flood"/>
        <s v="Intellectual capital"/>
        <s v="Transport"/>
        <s v="Waste"/>
        <s v="Water"/>
      </sharedItems>
    </cacheField>
    <cacheField name="Sub-Sector" numFmtId="0">
      <sharedItems/>
    </cacheField>
    <cacheField name="Sub-Group" numFmtId="0">
      <sharedItems/>
    </cacheField>
    <cacheField name="Programme name" numFmtId="0">
      <sharedItems containsBlank="1"/>
    </cacheField>
    <cacheField name="No. of projects in programme" numFmtId="0">
      <sharedItems containsString="0" containsBlank="1" containsNumber="1" containsInteger="1" minValue="1" maxValue="75"/>
    </cacheField>
    <cacheField name="Project Name" numFmtId="0">
      <sharedItems containsBlank="1"/>
    </cacheField>
    <cacheField name="Project Summary" numFmtId="0">
      <sharedItems containsBlank="1" longText="1"/>
    </cacheField>
    <cacheField name="Region" numFmtId="0">
      <sharedItems/>
    </cacheField>
    <cacheField name="Asset Ownership" numFmtId="0">
      <sharedItems/>
    </cacheField>
    <cacheField name="EcoNomically regulated asset" numFmtId="0">
      <sharedItems/>
    </cacheField>
    <cacheField name="Funding Source(s)" numFmtId="0">
      <sharedItems/>
    </cacheField>
    <cacheField name="Scheme Status" numFmtId="0">
      <sharedItems/>
    </cacheField>
    <cacheField name="Start of Works Projected (Construction)" numFmtId="0">
      <sharedItems containsDate="1" containsMixedTypes="1" minDate="1900-01-02T18:40:04" maxDate="1900-01-05T14:40:04"/>
    </cacheField>
    <cacheField name="Date in service (Projected)" numFmtId="0">
      <sharedItems containsMixedTypes="1" containsNumber="1" containsInteger="1" minValue="2013" maxValue="2040"/>
    </cacheField>
    <cacheField name="Total capex cost all funding (£m)" numFmtId="164">
      <sharedItems containsBlank="1" containsMixedTypes="1" containsNumber="1" minValue="0.139999999997999" maxValue="42557"/>
    </cacheField>
    <cacheField name="Total capex cost publicly funded, if different (£m)" numFmtId="0">
      <sharedItems containsBlank="1" containsMixedTypes="1" containsNumber="1" minValue="4.9082470588235294" maxValue="1200"/>
    </cacheField>
    <cacheField name="2012/13 (£m)" numFmtId="0">
      <sharedItems containsString="0" containsBlank="1" containsNumber="1" minValue="-5" maxValue="3927.083333333333"/>
    </cacheField>
    <cacheField name="2013/14 (£m)" numFmtId="0">
      <sharedItems containsString="0" containsBlank="1" containsNumber="1" minValue="-23" maxValue="3524.4668671426589"/>
    </cacheField>
    <cacheField name="2014/15 (£m)" numFmtId="0">
      <sharedItems containsString="0" containsBlank="1" containsNumber="1" minValue="-88" maxValue="3387.4166666666665"/>
    </cacheField>
    <cacheField name="2015/16 (£m)" numFmtId="0">
      <sharedItems containsString="0" containsBlank="1" containsNumber="1" minValue="1.4999999999999999E-2" maxValue="3000"/>
    </cacheField>
    <cacheField name="Total 2016/17 to 2019/20 (£m)" numFmtId="0">
      <sharedItems containsString="0" containsBlank="1" containsNumber="1" minValue="0.01" maxValue="10722"/>
    </cacheField>
    <cacheField name="2020/21 and Beyond  (£m)" numFmtId="0">
      <sharedItems containsString="0" containsBlank="1" containsNumber="1" minValue="0.04" maxValue="31510.83"/>
    </cacheField>
    <cacheField name="Estimate status" numFmtId="0">
      <sharedItems containsBlank="1"/>
    </cacheField>
    <cacheField name="Basis of costs" numFmtId="0">
      <sharedItems containsBlank="1"/>
    </cacheField>
    <cacheField name="Base Year" numFmtId="0">
      <sharedItems containsDate="1" containsBlank="1" containsMixedTypes="1" minDate="2013-01-01T00:00:00" maxDate="2013-01-02T00:00:00"/>
    </cacheField>
    <cacheField name="Web address for further information" numFmtId="0">
      <sharedItems containsBlank="1"/>
    </cacheField>
    <cacheField name="Data source(s)" numFmtId="0">
      <sharedItems containsBlank="1" longText="1"/>
    </cacheField>
    <cacheField name="Notes (including details where &quot;other&quot; given in response to earlier questions)" numFmtId="0">
      <sharedItems containsBlank="1" longText="1"/>
    </cacheField>
    <cacheField name="Top 40 Project" numFmtId="0">
      <sharedItems containsBlank="1"/>
    </cacheField>
    <cacheField name="2012/13c" numFmtId="0">
      <sharedItems containsSemiMixedTypes="0" containsString="0" containsNumber="1" minValue="-5" maxValue="3927.083333333333"/>
    </cacheField>
    <cacheField name="2013/14c" numFmtId="202">
      <sharedItems containsSemiMixedTypes="0" containsString="0" containsNumber="1" minValue="-22.482893450635387" maxValue="3524.4668671426589"/>
    </cacheField>
    <cacheField name="2014/15c" numFmtId="202">
      <sharedItems containsSemiMixedTypes="0" containsString="0" containsNumber="1" minValue="-84.417571517511377" maxValue="3249.5169172493556"/>
    </cacheField>
    <cacheField name="2015/16c" numFmtId="202">
      <sharedItems containsSemiMixedTypes="0" containsString="0" containsNumber="1" minValue="0" maxValue="3000"/>
    </cacheField>
    <cacheField name="2016 to 2020c" numFmtId="202">
      <sharedItems containsSemiMixedTypes="0" containsString="0" containsNumber="1" minValue="0" maxValue="10911.644379312451"/>
    </cacheField>
    <cacheField name="Beyond 2020c" numFmtId="202">
      <sharedItems containsSemiMixedTypes="0" containsString="0" containsNumber="1" minValue="0" maxValue="31510.83"/>
    </cacheField>
    <cacheField name="2012 to 2016 deflated" numFmtId="202">
      <sharedItems containsSemiMixedTypes="0" containsString="0" containsNumber="1" minValue="0" maxValue="13026.015250808792"/>
    </cacheField>
    <cacheField name="Post 2016 deflated" numFmtId="202">
      <sharedItems containsSemiMixedTypes="0" containsString="0" containsNumber="1" minValue="0" maxValue="31510.83"/>
    </cacheField>
    <cacheField name="2013 onwards" numFmtId="202">
      <sharedItems containsSemiMixedTypes="0" containsString="0" containsNumber="1" minValue="0" maxValue="31510.83"/>
    </cacheField>
  </cacheFields>
</pivotCacheDefinition>
</file>

<file path=xl/pivotCache/pivotCacheRecords1.xml><?xml version="1.0" encoding="utf-8"?>
<pivotCacheRecords xmlns="http://schemas.openxmlformats.org/spreadsheetml/2006/main" xmlns:r="http://schemas.openxmlformats.org/officeDocument/2006/relationships" count="646">
  <r>
    <x v="0"/>
    <s v="Broadcasting"/>
    <s v="Broadcasting"/>
    <s v="Digital Radio extension"/>
    <m/>
    <m/>
    <s v="Investment to signficantly improve the coveage of local DAB radio coverage across the UK.  This is intended to support a future decision on radio switchover.  "/>
    <s v="UK"/>
    <s v="Private"/>
    <s v="No"/>
    <s v="Public/Private"/>
    <s v="Active Programme"/>
    <s v="TBC"/>
    <s v="TBC"/>
    <n v="22"/>
    <m/>
    <m/>
    <n v="2"/>
    <n v="4"/>
    <m/>
    <n v="16"/>
    <m/>
    <s v="Estimated"/>
    <s v="Nominal"/>
    <m/>
    <m/>
    <s v="Arqiva financial statements."/>
    <s v="Government, Ofcom and radio sector in ongoing discussion to agree the final setlement of the local DAB build out network to support a future digital radio switchover. An MOU was signed in 2012 for Phase 2 (70% houshold coverage to 90%). Further discussions ongoing on Phase 3 (90% - 97% matching FM) as part of decisions about Radio Switchover. Govt will set out further delivery strategy to inform decision on radio switchover in Dec 2013. Costing is indicative only at this time."/>
    <m/>
    <n v="0"/>
    <n v="1.9550342130987293"/>
    <n v="3.8371623417050627"/>
    <n v="0"/>
    <n v="14.825229803382044"/>
    <n v="0"/>
    <n v="5.7921965548037919"/>
    <n v="14.825229803382044"/>
    <n v="20.617426358185835"/>
  </r>
  <r>
    <x v="0"/>
    <s v="Fixed line"/>
    <s v="Fixed line"/>
    <s v="BT Superfast Fibre Access programme"/>
    <m/>
    <m/>
    <s v="Investment by BT across the UK to install Fibre to the Cabinet to approx two thirds of premises by 2015"/>
    <s v="UK"/>
    <s v="Private"/>
    <s v="No"/>
    <s v="Private"/>
    <s v="Active Programme"/>
    <n v="2010"/>
    <n v="2014"/>
    <n v="2500"/>
    <m/>
    <n v="500"/>
    <n v="500"/>
    <n v="500"/>
    <m/>
    <m/>
    <m/>
    <s v="Estimated"/>
    <s v="Nominal"/>
    <m/>
    <s v="http://www.superfast-openreach.co.uk"/>
    <s v="BT release, confirmed in financial statements"/>
    <s v="BT originally expected that the programme will cover 2/3 of the UK by 2015. BT now aiming to complete rollout by spring 2014 as programme is ahead of schedule by 18 months. Costs estimated from BT business case."/>
    <s v="Yes"/>
    <n v="500"/>
    <n v="488.7585532746823"/>
    <n v="479.64529271313285"/>
    <n v="0"/>
    <n v="0"/>
    <n v="0"/>
    <n v="1468.4038459878152"/>
    <n v="0"/>
    <n v="968.4038459878152"/>
  </r>
  <r>
    <x v="0"/>
    <s v="Mobile"/>
    <s v="Mobile"/>
    <s v="Mobile network upgrade (4G)"/>
    <m/>
    <m/>
    <s v="Upgrade of mobile networks as a result of the release of the so called digital dividend spectrum (800MHz and 2.6 Ghz)"/>
    <s v="UK"/>
    <s v="Private"/>
    <s v="No"/>
    <s v="Private"/>
    <s v="Active Programme"/>
    <n v="2013"/>
    <n v="2015"/>
    <n v="3000"/>
    <m/>
    <m/>
    <n v="600"/>
    <n v="600"/>
    <n v="1800"/>
    <m/>
    <m/>
    <s v="Estimated"/>
    <s v="Nominal"/>
    <m/>
    <m/>
    <s v="DCMS Spectrum policy team"/>
    <s v="This is the expected investment to be made by the Mobile Network Operators (MNOs) as a result of the auction of spectrum in the 800Mhz and 2.6Ghz bands in 2013.  Implementation expected to be largely complete by end 2015.  Each mobile network has been calculating what the upgrade will cost, but these figures are commercially sensitive and so have not been released.  A general estimate for the industry based on top down estimates is £3-4bn over 5 years."/>
    <s v="Yes"/>
    <n v="0"/>
    <n v="586.51026392961876"/>
    <n v="575.57435125575944"/>
    <n v="1696.1916048794478"/>
    <n v="0"/>
    <n v="0"/>
    <n v="2858.2762200648258"/>
    <n v="0"/>
    <n v="2858.2762200648258"/>
  </r>
  <r>
    <x v="0"/>
    <s v="Mobile"/>
    <s v="Mobile"/>
    <s v="Mobile Infrastructure Programme (MIP)"/>
    <m/>
    <m/>
    <m/>
    <s v="UK"/>
    <s v="Public"/>
    <s v="No"/>
    <s v="Public/Private"/>
    <s v="Active Programme"/>
    <n v="2013"/>
    <n v="2015"/>
    <n v="150"/>
    <m/>
    <m/>
    <m/>
    <m/>
    <m/>
    <m/>
    <m/>
    <s v="Estimated"/>
    <s v="Nominal"/>
    <m/>
    <s v="https://www.gov.uk/government/organisations/department-for-culture-media-sport"/>
    <s v="DCMS and HM Treasury Spending Team"/>
    <s v="The information is correct at the time of publication in Dec 2013. Following the procurement of the infrastructure provider, Arqiva, the programme is going in to substantive implementation at the end of 2013. "/>
    <s v="Yes"/>
    <n v="0"/>
    <n v="0"/>
    <n v="0"/>
    <n v="0"/>
    <n v="0"/>
    <n v="0"/>
    <n v="0"/>
    <n v="0"/>
    <n v="0"/>
  </r>
  <r>
    <x v="0"/>
    <s v="Rural broadband"/>
    <s v="Rural broadband"/>
    <s v="BDUK rural broadband investment"/>
    <n v="44"/>
    <m/>
    <s v="Programme to invest £530m of central government money and similar level of local funding to support broadband infrastructure investment in places where the private sector would not otherwise go"/>
    <s v="UK"/>
    <s v="Public/Private"/>
    <s v="No"/>
    <s v="Public/Private"/>
    <s v="Active Programme"/>
    <n v="2012"/>
    <n v="2016"/>
    <n v="1500"/>
    <n v="1200"/>
    <n v="23"/>
    <n v="96.3"/>
    <n v="317"/>
    <n v="91.7"/>
    <n v="972"/>
    <m/>
    <s v="Confirmed"/>
    <s v="Nominal"/>
    <m/>
    <s v="https://www.gov.uk/broadband-delivery-uk"/>
    <s v="BDUK programme documents"/>
    <s v="£1.2bn of public funding used as gap funding to support private sector investment to ensure that every premise in the UK gets standard broadband and as many as possible get superfast broadband. Central govt funding is £530m from the TV Licence Fee. A further £250m was announced in the 2013 Spending Review to support further investment from 2015 to 2017. All projected figures are estimates at the time of publication."/>
    <s v="Yes"/>
    <n v="23"/>
    <n v="94.134897360703818"/>
    <n v="304.09511558012622"/>
    <n v="86.411538981914092"/>
    <n v="900.6327105554592"/>
    <n v="0"/>
    <n v="507.6415519227441"/>
    <n v="900.6327105554592"/>
    <n v="1385.2742624782034"/>
  </r>
  <r>
    <x v="0"/>
    <s v="Other digital communications"/>
    <s v="Balancing item"/>
    <s v="Balancing item to cover general communications investment"/>
    <m/>
    <m/>
    <s v="To ensure consistency with earlier approach, use ONS estimates for sector investment to add to total investment"/>
    <s v="UK"/>
    <s v="Private"/>
    <s v="No"/>
    <s v="Private"/>
    <s v="Active Programme"/>
    <s v="TBC"/>
    <s v="TBC"/>
    <n v="17094"/>
    <m/>
    <n v="3927.083333333333"/>
    <n v="3389.4166666666665"/>
    <n v="3387.4166666666665"/>
    <n v="2691.42"/>
    <m/>
    <m/>
    <s v="Estimated"/>
    <s v="Nominal"/>
    <m/>
    <m/>
    <s v="ONS - Capital Stocks, Capital Consumption and Non-Financial Balance Sheets. 4.1.1 Gross fixed capital formation by asset and industry - Post &amp; Telecommunications Plant and Machinery (JGRK)"/>
    <s v="Excludes BDUK investment. Assumption based on historical data that telecoms is approx 75% of total ONS estimate."/>
    <m/>
    <n v="3927.083333333333"/>
    <n v="3313.2127728901919"/>
    <n v="3249.5169172493556"/>
    <n v="2536.202227335913"/>
    <n v="0"/>
    <n v="0"/>
    <n v="13026.015250808792"/>
    <n v="0"/>
    <n v="9098.9319174754601"/>
  </r>
  <r>
    <x v="0"/>
    <s v="Rural broadband"/>
    <s v="Rural broadband"/>
    <m/>
    <m/>
    <s v="Cornwall Broadband project"/>
    <s v="County wide project in Cornwall to provide superfast broadband - expected to provide up to 90% coverage"/>
    <s v="South West"/>
    <s v="Private"/>
    <s v="No"/>
    <s v="Public/Private"/>
    <s v="In Construction"/>
    <n v="2011"/>
    <n v="2014"/>
    <n v="132"/>
    <m/>
    <n v="33"/>
    <n v="33"/>
    <n v="33"/>
    <m/>
    <m/>
    <m/>
    <s v="Estimated"/>
    <s v="Nominal"/>
    <m/>
    <s v="http://www.superfastcornwall.org"/>
    <s v="Project documentation - ERDF convergence funds will provide up to £53.5m and BT will provide £78.5m"/>
    <s v="ERDF funded project. Roll-out is progressing well and is expected to go further than original target. "/>
    <s v="Yes"/>
    <n v="33"/>
    <n v="32.258064516129032"/>
    <n v="31.656589319066768"/>
    <n v="0"/>
    <n v="0"/>
    <n v="0"/>
    <n v="96.914653835195793"/>
    <n v="0"/>
    <n v="63.914653835195793"/>
  </r>
  <r>
    <x v="1"/>
    <s v="Electricity distribution"/>
    <s v="Electricity distribution"/>
    <s v="RIIO-ED1 Price Control"/>
    <m/>
    <m/>
    <s v="RIIIO-EDI Price Control"/>
    <s v="UK"/>
    <s v="Private"/>
    <s v="Yes"/>
    <s v="Private"/>
    <s v="Scoping"/>
    <s v="various"/>
    <s v="various"/>
    <n v="11858.92"/>
    <m/>
    <m/>
    <m/>
    <m/>
    <n v="1623.27"/>
    <n v="6064.56"/>
    <n v="4171.09"/>
    <s v="Estimated"/>
    <s v="Constant"/>
    <s v="2012/13"/>
    <s v="https://www.ofgem.gov.uk/network-regulation-%E2%80%93-riio-model/riio-ed1-price-control"/>
    <s v="Ofgem"/>
    <s v="Figures from 2015/16 onwards are purely indicative. They are based on individual operators’ business plans and have not yet been approved by Ofgem. Note that the investment numbers quoted here are a subset of what is normally understood as investment, consistent with a form used by Ofgem to benchmark costs across distribution companies. Typically, they include physical assets that carry electricity and exclude expenditure needed for items such as designing the networks, IT, buildings and pensions. It should be noted that DECC’s estimate provided in the July EMR impact assessment used a broader definition of investment that included these additional items."/>
    <m/>
    <n v="0"/>
    <n v="0"/>
    <n v="0"/>
    <n v="1623.27"/>
    <n v="6064.56"/>
    <n v="4171.09"/>
    <n v="1623.27"/>
    <n v="10235.650000000001"/>
    <n v="11858.920000000002"/>
  </r>
  <r>
    <x v="1"/>
    <s v="Electricity distribution"/>
    <s v="Electricity distribution"/>
    <s v="CE Northern Electric Distribution"/>
    <m/>
    <m/>
    <s v="CE NEDL"/>
    <s v="North East"/>
    <s v="Private"/>
    <s v="Yes"/>
    <s v="Private"/>
    <s v="Active Programme"/>
    <n v="2010"/>
    <n v="2015"/>
    <n v="395.2"/>
    <m/>
    <n v="92.5"/>
    <n v="109.3"/>
    <n v="93.2"/>
    <m/>
    <m/>
    <m/>
    <s v="Estimated"/>
    <s v="Constant"/>
    <s v="2012/13"/>
    <s v="http://www.northernpowergrid.com/"/>
    <s v="Northern Powergrid"/>
    <s v="Total Capex is for DPCR5 period. The figures consistent with the form used by Ofgem to benchmark costs."/>
    <m/>
    <n v="92.5"/>
    <n v="109.3"/>
    <n v="93.2"/>
    <n v="0"/>
    <n v="0"/>
    <n v="0"/>
    <n v="295"/>
    <n v="0"/>
    <n v="202.5"/>
  </r>
  <r>
    <x v="1"/>
    <s v="Electricity distribution"/>
    <s v="Electricity distribution"/>
    <s v="CE Yorkshire Distribution"/>
    <m/>
    <m/>
    <s v="CE YEDL"/>
    <s v="Yorkshire &amp; the Humber"/>
    <s v="Private"/>
    <s v="Yes"/>
    <s v="Private"/>
    <s v="Active Programme"/>
    <n v="2010"/>
    <n v="2015"/>
    <n v="535"/>
    <m/>
    <n v="121.6"/>
    <n v="132.5"/>
    <n v="131.9"/>
    <m/>
    <m/>
    <m/>
    <s v="Estimated"/>
    <s v="Constant"/>
    <s v="2012/13"/>
    <s v="http://www.northernpowergrid.com"/>
    <s v="Northern Powergrid"/>
    <s v="Total Capex is for DPCR5 period. The figures consistent with the form used by Ofgem to benchmark costs."/>
    <m/>
    <n v="121.6"/>
    <n v="132.5"/>
    <n v="131.9"/>
    <n v="0"/>
    <n v="0"/>
    <n v="0"/>
    <n v="386"/>
    <n v="0"/>
    <n v="264.39999999999998"/>
  </r>
  <r>
    <x v="1"/>
    <s v="Electricity distribution"/>
    <s v="Electricity distribution"/>
    <s v="Electricity North West"/>
    <m/>
    <m/>
    <s v="ENW"/>
    <s v="North West"/>
    <s v="Private"/>
    <s v="Yes"/>
    <s v="Private"/>
    <s v="Active Programme"/>
    <n v="2010"/>
    <n v="2015"/>
    <n v="578.79999999999995"/>
    <m/>
    <n v="117.86"/>
    <n v="145.03"/>
    <n v="128.96"/>
    <m/>
    <m/>
    <m/>
    <s v="Estimated"/>
    <s v="Constant"/>
    <s v="2012/13"/>
    <s v="http://www.enwl.co.uk"/>
    <s v="Electricity North West"/>
    <s v="Total Capex is for DPCR5 period. The figures consistent with the form used by Ofgem to benchmark costs."/>
    <m/>
    <n v="117.86"/>
    <n v="145.03"/>
    <n v="128.96"/>
    <n v="0"/>
    <n v="0"/>
    <n v="0"/>
    <n v="391.85"/>
    <n v="0"/>
    <n v="273.99"/>
  </r>
  <r>
    <x v="1"/>
    <s v="Electricity distribution"/>
    <s v="Electricity distribution"/>
    <s v="Eon Central Networks East"/>
    <m/>
    <m/>
    <s v="CN East"/>
    <s v="East Midlands"/>
    <s v="Private"/>
    <s v="Yes"/>
    <s v="Private"/>
    <s v="Active Programme"/>
    <n v="2010"/>
    <n v="2015"/>
    <n v="559.20000000000005"/>
    <m/>
    <n v="152.15"/>
    <n v="141.74"/>
    <n v="114.95"/>
    <m/>
    <m/>
    <m/>
    <s v="Estimated"/>
    <s v="Constant"/>
    <s v="2012/13"/>
    <s v="http://www.westernpower.co.uk"/>
    <s v="Western Power Distribution"/>
    <s v="Total Capex is for DPCR5 period. The figures consistent with the form used by Ofgem to benchmark costs."/>
    <m/>
    <n v="152.15"/>
    <n v="141.74"/>
    <n v="114.95"/>
    <n v="0"/>
    <n v="0"/>
    <n v="0"/>
    <n v="408.84"/>
    <n v="0"/>
    <n v="256.68999999999994"/>
  </r>
  <r>
    <x v="1"/>
    <s v="Electricity distribution"/>
    <s v="Electricity distribution"/>
    <s v="Eon Central Networks West"/>
    <m/>
    <m/>
    <s v="CN West"/>
    <s v="West Midlands"/>
    <s v="Private"/>
    <s v="Yes"/>
    <s v="Private"/>
    <s v="Active Programme"/>
    <n v="2010"/>
    <n v="2015"/>
    <n v="595.20000000000005"/>
    <m/>
    <n v="122.1"/>
    <n v="155.1"/>
    <n v="143"/>
    <m/>
    <m/>
    <m/>
    <s v="Estimated"/>
    <s v="Constant"/>
    <s v="2012/13"/>
    <s v="http://www.westernpower.co.uk"/>
    <s v="Western Power Distribution"/>
    <s v="Total Capex is for DPCR5 period. The figures consistent with the form used by Ofgem to benchmark costs."/>
    <m/>
    <n v="122.1"/>
    <n v="155.1"/>
    <n v="143"/>
    <n v="0"/>
    <n v="0"/>
    <n v="0"/>
    <n v="420.2"/>
    <n v="0"/>
    <n v="298.10000000000002"/>
  </r>
  <r>
    <x v="1"/>
    <s v="Electricity distribution"/>
    <s v="Electricity distribution"/>
    <s v="Scottish and Southern Energy Hydro"/>
    <m/>
    <m/>
    <s v="SSE Hydro"/>
    <s v="Scotland"/>
    <s v="Private"/>
    <s v="Yes"/>
    <s v="Private"/>
    <s v="Active Programme"/>
    <n v="2010"/>
    <n v="2015"/>
    <n v="210.6"/>
    <m/>
    <n v="46.4"/>
    <n v="48.3"/>
    <n v="49"/>
    <m/>
    <m/>
    <m/>
    <s v="Estimated"/>
    <s v="Constant"/>
    <s v="2012/13"/>
    <s v="http://www.sse.com/Home"/>
    <s v="SSE"/>
    <s v="Total Capex is for DPCR5 period. The figures consistent with the form used by Ofgem to benchmark costs."/>
    <m/>
    <n v="46.4"/>
    <n v="48.3"/>
    <n v="49"/>
    <n v="0"/>
    <n v="0"/>
    <n v="0"/>
    <n v="143.69999999999999"/>
    <n v="0"/>
    <n v="97.299999999999983"/>
  </r>
  <r>
    <x v="1"/>
    <s v="Electricity distribution"/>
    <s v="Electricity distribution"/>
    <s v="Scottish and Southern Energy Southern"/>
    <m/>
    <m/>
    <s v="SSE Southern"/>
    <s v="South East"/>
    <s v="Private"/>
    <s v="Yes"/>
    <s v="Private"/>
    <s v="Active Programme"/>
    <n v="2010"/>
    <n v="2015"/>
    <n v="699.5"/>
    <m/>
    <n v="146.5"/>
    <n v="161.80000000000001"/>
    <n v="174.2"/>
    <m/>
    <m/>
    <m/>
    <s v="Estimated"/>
    <s v="Constant"/>
    <s v="2012/13"/>
    <s v="http://www.sse.com/Home"/>
    <s v="SSE"/>
    <s v="Total Capex is for DPCR5 period. The figures consistent with the form used by Ofgem to benchmark costs."/>
    <m/>
    <n v="146.5"/>
    <n v="161.80000000000001"/>
    <n v="174.2"/>
    <n v="0"/>
    <n v="0"/>
    <n v="0"/>
    <n v="482.5"/>
    <n v="0"/>
    <n v="336"/>
  </r>
  <r>
    <x v="1"/>
    <s v="Electricity distribution"/>
    <s v="Electricity distribution"/>
    <s v="Scottish Power Distribution"/>
    <m/>
    <m/>
    <s v="SP Distribution"/>
    <s v="Scotland"/>
    <s v="Private"/>
    <s v="Yes"/>
    <s v="Private"/>
    <s v="Active Programme"/>
    <n v="2010"/>
    <n v="2015"/>
    <n v="450"/>
    <m/>
    <n v="80.072252424032868"/>
    <n v="101.48162233878712"/>
    <n v="102.40211812903647"/>
    <m/>
    <m/>
    <m/>
    <s v="Estimated"/>
    <s v="Constant"/>
    <s v="2012/13"/>
    <s v="http://www.sppowersystems.com/"/>
    <s v="Scottish Power Energy Networks"/>
    <s v="Total Capex is for DPCR5 period. The figures consistent with the form used by Ofgem to benchmark costs."/>
    <m/>
    <n v="80.072252424032868"/>
    <n v="101.4816223387871"/>
    <n v="102.40211812903647"/>
    <n v="0"/>
    <n v="0"/>
    <n v="0"/>
    <n v="283.95599289185645"/>
    <n v="0"/>
    <n v="203.8837404678236"/>
  </r>
  <r>
    <x v="1"/>
    <s v="Electricity distribution"/>
    <s v="Electricity distribution"/>
    <s v="Scottish Power Manweb"/>
    <m/>
    <m/>
    <s v="SP Manweb"/>
    <s v="North West"/>
    <s v="Private"/>
    <s v="Yes"/>
    <s v="Private"/>
    <s v="Active Programme"/>
    <n v="2010"/>
    <n v="2015"/>
    <n v="630"/>
    <m/>
    <n v="112.65243709043391"/>
    <n v="143.5307729578787"/>
    <n v="164.13738014183943"/>
    <m/>
    <m/>
    <m/>
    <s v="Estimated"/>
    <s v="Constant"/>
    <s v="2012/13"/>
    <s v="http://www.sppowersystems.com"/>
    <s v="Scottish Power Energy Networks"/>
    <s v="Total Capex is for DPCR5 period. The figures consistent with the form used by Ofgem to benchmark costs."/>
    <m/>
    <n v="112.65243709043391"/>
    <n v="143.5307729578787"/>
    <n v="164.13738014183943"/>
    <n v="0"/>
    <n v="0"/>
    <n v="0"/>
    <n v="420.32059019015207"/>
    <n v="0"/>
    <n v="307.66815309971815"/>
  </r>
  <r>
    <x v="1"/>
    <s v="Electricity distribution"/>
    <s v="Electricity distribution"/>
    <s v="UK Power Networks - East"/>
    <m/>
    <m/>
    <s v="EDFE EPN"/>
    <s v="East of England"/>
    <s v="Private"/>
    <s v="Yes"/>
    <s v="Private"/>
    <s v="Active Programme"/>
    <n v="2010"/>
    <n v="2015"/>
    <n v="726.01"/>
    <m/>
    <n v="121.78"/>
    <n v="182.68"/>
    <n v="165.26"/>
    <m/>
    <m/>
    <m/>
    <s v="Estimated"/>
    <s v="Constant"/>
    <s v="2012/13"/>
    <s v="www.ukpowernetworks.co.uk"/>
    <s v="UK Power Networks"/>
    <s v="Total Capex is for DPCR5 period. The figures consistent with the form used by Ofgem to benchmark costs."/>
    <m/>
    <n v="121.78"/>
    <n v="182.68"/>
    <n v="165.26"/>
    <n v="0"/>
    <n v="0"/>
    <n v="0"/>
    <n v="469.72"/>
    <n v="0"/>
    <n v="347.94000000000005"/>
  </r>
  <r>
    <x v="1"/>
    <s v="Electricity distribution"/>
    <s v="Electricity distribution"/>
    <s v="UK Power Networks - London"/>
    <m/>
    <m/>
    <s v="EDFE LPN"/>
    <s v="London"/>
    <s v="Private"/>
    <s v="Yes"/>
    <s v="Private"/>
    <s v="Active Programme"/>
    <n v="2010"/>
    <n v="2015"/>
    <n v="511.91"/>
    <m/>
    <n v="91.23"/>
    <n v="136.55000000000001"/>
    <n v="141.56"/>
    <m/>
    <m/>
    <m/>
    <s v="Estimated"/>
    <s v="Constant"/>
    <s v="2012/13"/>
    <s v="www.ukpowernetworks.co.uk"/>
    <s v="UK Power Networks"/>
    <s v="Total Capex is for DPCR5 period. The figures consistent with the form used by Ofgem to benchmark costs."/>
    <m/>
    <n v="91.23"/>
    <n v="136.55000000000001"/>
    <n v="141.56"/>
    <n v="0"/>
    <n v="0"/>
    <n v="0"/>
    <n v="369.34000000000003"/>
    <n v="0"/>
    <n v="278.11"/>
  </r>
  <r>
    <x v="1"/>
    <s v="Electricity distribution"/>
    <s v="Electricity distribution"/>
    <s v="UK Power Networks - South East"/>
    <m/>
    <m/>
    <s v="EDFE SPN"/>
    <s v="South East"/>
    <s v="Private"/>
    <s v="Yes"/>
    <s v="Private"/>
    <s v="Active Programme"/>
    <n v="2010"/>
    <n v="2015"/>
    <n v="484.72"/>
    <m/>
    <n v="85.79"/>
    <n v="106.13"/>
    <n v="109.9"/>
    <m/>
    <m/>
    <m/>
    <s v="Estimated"/>
    <s v="Constant"/>
    <s v="2012/13"/>
    <s v="www.ukpowernetworks.co.uk"/>
    <s v="UK Power Networks"/>
    <s v="Total Capex is for DPCR5 period. The figures consistent with the form used by Ofgem to benchmark costs."/>
    <m/>
    <n v="85.79"/>
    <n v="106.13"/>
    <n v="109.9"/>
    <n v="0"/>
    <n v="0"/>
    <n v="0"/>
    <n v="301.82000000000005"/>
    <n v="0"/>
    <n v="216.03000000000003"/>
  </r>
  <r>
    <x v="1"/>
    <s v="Electricity distribution"/>
    <s v="Electricity distribution"/>
    <s v="Western Power Distribution South Wales"/>
    <m/>
    <m/>
    <s v="WPD S Wales"/>
    <s v="Wales"/>
    <s v="Private"/>
    <s v="Yes"/>
    <s v="Private"/>
    <s v="Active Programme"/>
    <n v="2010"/>
    <n v="2015"/>
    <n v="249.5"/>
    <m/>
    <n v="60.8"/>
    <n v="48.1"/>
    <n v="51.1"/>
    <m/>
    <m/>
    <m/>
    <s v="Estimated"/>
    <s v="Constant"/>
    <s v="2012/13"/>
    <s v="http://www.westernpower.co.uk"/>
    <s v="Western Power Distribution"/>
    <s v="Total Capex is for DPCR5 period. The figures consistent with the form used by Ofgem to benchmark costs."/>
    <m/>
    <n v="60.8"/>
    <n v="48.1"/>
    <n v="51.1"/>
    <n v="0"/>
    <n v="0"/>
    <n v="0"/>
    <n v="160"/>
    <n v="0"/>
    <n v="99.2"/>
  </r>
  <r>
    <x v="1"/>
    <s v="Electricity distribution"/>
    <s v="Electricity distribution"/>
    <s v="Western Power Distribution South West"/>
    <m/>
    <m/>
    <s v="WPD S West"/>
    <s v="South West"/>
    <s v="Private"/>
    <s v="Yes"/>
    <s v="Private"/>
    <s v="Active Programme"/>
    <n v="2010"/>
    <n v="2015"/>
    <n v="353.8"/>
    <m/>
    <n v="67.3"/>
    <n v="75.7"/>
    <n v="79.7"/>
    <m/>
    <m/>
    <m/>
    <s v="Estimated"/>
    <s v="Constant"/>
    <s v="2012/13"/>
    <s v="http://www.westernpower.co.uk"/>
    <s v="Western Power Distribution"/>
    <s v="Total Capex is for DPCR5 period. The figures consistent with the form used by Ofgem to benchmark costs."/>
    <m/>
    <n v="67.3"/>
    <n v="75.7"/>
    <n v="79.7"/>
    <n v="0"/>
    <n v="0"/>
    <n v="0"/>
    <n v="222.7"/>
    <n v="0"/>
    <n v="155.39999999999998"/>
  </r>
  <r>
    <x v="1"/>
    <s v="Electricity generation"/>
    <s v="Biomass"/>
    <m/>
    <m/>
    <s v="Consented schemes"/>
    <m/>
    <s v="UK"/>
    <s v="Private"/>
    <s v="No"/>
    <s v="Private"/>
    <s v="Consents Approved"/>
    <s v="various"/>
    <s v="various"/>
    <n v="889.5"/>
    <m/>
    <m/>
    <m/>
    <n v="82.78"/>
    <n v="162.97"/>
    <n v="643.75"/>
    <m/>
    <s v="Estimated"/>
    <s v="Constant"/>
    <s v="2012/13"/>
    <m/>
    <s v="Data for electricity generation has been drawn from DECC, National Grid TEC register (14 October 2013), Renewable Energy Planning Database (REPD), Developer websites and HM Treasury estimates except Hinkley Point C. For biomass, only those projects were considered which are &gt;= 50MW and whose applications were determined after 2007 as shown in REPD."/>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s v="Yes"/>
    <n v="0"/>
    <n v="0"/>
    <n v="82.78"/>
    <n v="162.97"/>
    <n v="643.75"/>
    <n v="0"/>
    <n v="245.75"/>
    <n v="643.75"/>
    <n v="889.5"/>
  </r>
  <r>
    <x v="1"/>
    <s v="Electricity generation"/>
    <s v="Biomass"/>
    <m/>
    <m/>
    <s v="Schemes in construction"/>
    <m/>
    <s v="UK"/>
    <s v="Private"/>
    <s v="No"/>
    <s v="Private"/>
    <s v="In Construction"/>
    <s v="various"/>
    <s v="various"/>
    <n v="245.72"/>
    <m/>
    <n v="33.65"/>
    <n v="109.09"/>
    <n v="45.76"/>
    <n v="57.22"/>
    <m/>
    <m/>
    <s v="Estimated"/>
    <s v="Constant"/>
    <s v="2012/13"/>
    <m/>
    <s v="Data for electricity generation has been drawn from DECC, National Grid TEC register (14 October 2013), Renewable Energy Planning Database (REPD), Developer websites and HM Treasury estimates except Hinkley Point C. For biomass, only those projects were considered which are &gt;= 50MW and whose applications were determined after 2007 as shown in REPD."/>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s v="Yes"/>
    <n v="33.65"/>
    <n v="109.09"/>
    <n v="45.76"/>
    <n v="57.22"/>
    <n v="0"/>
    <n v="0"/>
    <n v="245.72"/>
    <n v="0"/>
    <n v="212.07"/>
  </r>
  <r>
    <x v="1"/>
    <s v="Electricity generation"/>
    <s v="Biomass"/>
    <m/>
    <m/>
    <s v="Forth Ports CHP Grangemouth"/>
    <s v="Forth Ports/SSE"/>
    <s v="Scotland"/>
    <s v="Private"/>
    <s v="No"/>
    <s v="Private"/>
    <s v="Consents Approved"/>
    <n v="2014"/>
    <n v="2017"/>
    <m/>
    <m/>
    <m/>
    <m/>
    <m/>
    <m/>
    <m/>
    <m/>
    <s v="See notes"/>
    <m/>
    <m/>
    <s v="https://restats.decc.gov.uk/app/reporting/decc/monthlyextract"/>
    <s v="Data for electricity generation has been drawn from DECC, National Grid TEC register (14 October 2013), Renewable Energy Planning Database (REPD), Developer websites and HM Treasury estimates except Hinkley Point C. For biomass, only those projects were considered which are &gt;= 50MW and whose applications were determined after 2007 as shown in REPD."/>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Biomass"/>
    <m/>
    <m/>
    <s v="Markinch Biomass CHP Plant"/>
    <s v="Glenrothes"/>
    <s v="Scotland"/>
    <s v="Private"/>
    <s v="No"/>
    <s v="Private"/>
    <s v="In Construction"/>
    <n v="2010"/>
    <n v="2013"/>
    <m/>
    <m/>
    <m/>
    <m/>
    <m/>
    <m/>
    <m/>
    <m/>
    <s v="See notes"/>
    <m/>
    <m/>
    <s v="http://www.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For biomass, only those projects were considered which are &gt;= 50MW and whose applications were determined after 2007 as shown in REPD."/>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Biomass"/>
    <m/>
    <m/>
    <s v="North Blyth"/>
    <s v="RES Port of Blyth"/>
    <s v="North East"/>
    <s v="Private"/>
    <s v="No"/>
    <s v="Private"/>
    <s v="Consents Approved"/>
    <n v="2014"/>
    <n v="2017"/>
    <m/>
    <m/>
    <m/>
    <m/>
    <m/>
    <m/>
    <m/>
    <m/>
    <s v="See notes"/>
    <m/>
    <m/>
    <s v="https://restats.decc.gov.uk/app/reporting/decc/monthlyextract"/>
    <s v="Data for electricity generation has been drawn from DECC, National Grid TEC register (14 October 2013), Renewable Energy Planning Database (REPD), Developer websites and HM Treasury estimates except Hinkley Point C. For biomass, only those projects were considered which are &gt;= 50MW and whose applications were determined after 2007 as shown in REPD."/>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Biomass"/>
    <m/>
    <m/>
    <s v="Tees Renewable Energy Plant"/>
    <s v="Teesside Power Station"/>
    <s v="North East"/>
    <s v="Private"/>
    <s v="No"/>
    <s v="Private"/>
    <s v="Consents Approved"/>
    <n v="2013"/>
    <n v="2016"/>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For biomass, only those projects were considered which are &gt;= 50MW and whose applications were determined after 2007 as shown in REPD."/>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Biomass"/>
    <m/>
    <m/>
    <s v="Bristol Port - Helius Energy"/>
    <s v="Bristol Port Biomass"/>
    <s v="South West"/>
    <s v="Private"/>
    <s v="No"/>
    <s v="Private"/>
    <s v="Consents Approved"/>
    <n v="2014"/>
    <n v="2017"/>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For biomass, only those projects were considered which are &gt;= 50MW and whose applications were determined after 2007 as shown in REPD."/>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Biomass"/>
    <m/>
    <m/>
    <s v="Ferrybridge Multifuel 1"/>
    <s v="Ferrybridge Biomass / SSE"/>
    <s v="Yorkshire &amp; the Humber"/>
    <s v="Private"/>
    <s v="No"/>
    <s v="Private"/>
    <s v="In Construction"/>
    <n v="2012"/>
    <n v="2015"/>
    <m/>
    <m/>
    <m/>
    <m/>
    <m/>
    <m/>
    <m/>
    <m/>
    <s v="See notes"/>
    <m/>
    <m/>
    <s v="https://restats.decc.gov.uk/app/reporting/decc/monthlyextract"/>
    <s v="Data for electricity generation has been drawn from DECC, National Grid TEC register (14 October 2013), Renewable Energy Planning Database (REPD), Developer websites and HM Treasury estimates except Hinkley Point C. For biomass, only those projects were considered which are &gt;= 50MW and whose applications were determined after 2007 as shown in REPD."/>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Biomass"/>
    <m/>
    <m/>
    <s v="Tilbury Green Power"/>
    <s v="Tilbury Green Power"/>
    <s v="East of England"/>
    <s v="Private"/>
    <s v="No"/>
    <s v="Private"/>
    <s v="Consents Approved"/>
    <n v="2014"/>
    <n v="2017"/>
    <m/>
    <m/>
    <m/>
    <m/>
    <m/>
    <m/>
    <m/>
    <m/>
    <s v="See notes"/>
    <m/>
    <m/>
    <s v="https://restats.decc.gov.uk/app/reporting/decc/monthlyextract"/>
    <s v="Data for electricity generation has been drawn from DECC, National Grid TEC register (14 October 2013), Renewable Energy Planning Database (REPD), Developer websites and HM Treasury estimates except Hinkley Point C. For biomass, only those projects were considered which are &gt;= 50MW and whose applications were determined after 2007 as shown in REPD."/>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Biomass"/>
    <m/>
    <m/>
    <s v="Anglesey Aluminium Metal Renewables Ltd"/>
    <s v="Anglesey Aluminium Metal Renewables Ltd"/>
    <s v="Wales"/>
    <s v="Private"/>
    <s v="No"/>
    <s v="Private"/>
    <s v="Consents Approved"/>
    <n v="2017"/>
    <n v="2020"/>
    <m/>
    <m/>
    <m/>
    <m/>
    <m/>
    <m/>
    <m/>
    <m/>
    <s v="See notes"/>
    <m/>
    <m/>
    <s v="https://restats.decc.gov.uk/app/reporting/decc/monthlyextract"/>
    <s v="Data for electricity generation has been drawn from DECC, National Grid TEC register (14 October 2013), Renewable Energy Planning Database (REPD), Developer websites and HM Treasury estimates except Hinkley Point C. For biomass, only those projects were considered which are &gt;= 50MW and whose applications were determined after 2007 as shown in REPD."/>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Biomass"/>
    <m/>
    <m/>
    <s v="Pollington Energy Park"/>
    <s v="Pollington Energy Park"/>
    <s v="Yorkshire &amp; the Humber"/>
    <s v="Private"/>
    <s v="No"/>
    <s v="Private"/>
    <s v="Consents Approved"/>
    <n v="2017"/>
    <n v="2020"/>
    <m/>
    <m/>
    <m/>
    <m/>
    <m/>
    <m/>
    <m/>
    <m/>
    <s v="See notes"/>
    <m/>
    <m/>
    <s v="https://restats.decc.gov.uk/app/reporting/decc/monthlyextract"/>
    <s v="Data for electricity generation has been drawn from DECC, National Grid TEC register (14 October 2013), Renewable Energy Planning Database (REPD), Developer websites and HM Treasury estimates except Hinkley Point C. For biomass, only those projects were considered which are &gt;= 50MW and whose applications were determined after 2007 as shown in REPD."/>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Biomass"/>
    <m/>
    <m/>
    <s v="Stallingborough Alpha (Helius Energy Biomass Plant Resubmission)"/>
    <s v="Stallingborough Alpha (Helius Energy Biomass Plant Resubmission)"/>
    <s v="Yorkshire &amp; the Humber"/>
    <s v="Private"/>
    <s v="No"/>
    <s v="Private"/>
    <s v="Consents Approved"/>
    <n v="2017"/>
    <n v="2020"/>
    <m/>
    <m/>
    <m/>
    <m/>
    <m/>
    <m/>
    <m/>
    <m/>
    <s v="See notes"/>
    <m/>
    <m/>
    <s v="https://restats.decc.gov.uk/app/reporting/decc/monthlyextract"/>
    <s v="Data for electricity generation has been drawn from DECC, National Grid TEC register (14 October 2013), Renewable Energy Planning Database (REPD), Developer websites and HM Treasury estimates except Hinkley Point C. For biomass, only those projects were considered which are &gt;= 50MW and whose applications were determined after 2007 as shown in REPD."/>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Biomass"/>
    <m/>
    <m/>
    <s v="Peterborough Energy Park (Green Energy Parks - Gasification)"/>
    <s v="Peterborough Energy Park (Green Energy Parks - Gasification)"/>
    <s v="East of England"/>
    <s v="Private"/>
    <s v="No"/>
    <s v="Private"/>
    <s v="Consents Approved"/>
    <n v="2017"/>
    <n v="2020"/>
    <m/>
    <m/>
    <m/>
    <m/>
    <m/>
    <m/>
    <m/>
    <m/>
    <s v="See notes"/>
    <m/>
    <m/>
    <s v="https://restats.decc.gov.uk/app/reporting/decc/monthlyextract"/>
    <s v="Data for electricity generation has been drawn from DECC, National Grid TEC register (14 October 2013), Renewable Energy Planning Database (REPD), Developer websites and HM Treasury estimates except Hinkley Point C. For biomass, only those projects were considered which are &gt;= 50MW and whose applications were determined after 2007 as shown in REPD."/>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Biomass"/>
    <m/>
    <m/>
    <s v="Bristol Liquid Biomass"/>
    <s v="Bristol Liquid Biomass"/>
    <s v="South West"/>
    <s v="Private"/>
    <s v="No"/>
    <s v="Private"/>
    <s v="Consents Approved"/>
    <n v="2017"/>
    <n v="2020"/>
    <m/>
    <m/>
    <m/>
    <m/>
    <m/>
    <m/>
    <m/>
    <m/>
    <s v="See notes"/>
    <m/>
    <m/>
    <s v="https://restats.decc.gov.uk/app/reporting/decc/monthlyextract"/>
    <s v="Data for electricity generation has been drawn from DECC, National Grid TEC register (14 October 2013), Renewable Energy Planning Database (REPD), Developer websites and HM Treasury estimates except Hinkley Point C. For biomass, only those projects were considered which are &gt;= 50MW and whose applications were determined after 2007 as shown in REPD."/>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Biomass Conversion"/>
    <m/>
    <m/>
    <s v="Schemes in construction"/>
    <m/>
    <s v="Yorkshire &amp; the Humber"/>
    <s v="Private"/>
    <s v="No"/>
    <s v="Private"/>
    <s v="In Construction"/>
    <s v="various"/>
    <s v="various"/>
    <n v="350"/>
    <m/>
    <m/>
    <m/>
    <n v="105"/>
    <n v="140"/>
    <n v="105"/>
    <m/>
    <s v="See notes"/>
    <s v="Constant"/>
    <s v="2012/13"/>
    <m/>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s v="Yes"/>
    <n v="0"/>
    <n v="0"/>
    <n v="105"/>
    <n v="140"/>
    <n v="105"/>
    <n v="0"/>
    <n v="245"/>
    <n v="105"/>
    <n v="350"/>
  </r>
  <r>
    <x v="1"/>
    <s v="Electricity generation"/>
    <s v="Biomass Conversion"/>
    <m/>
    <m/>
    <s v="Drax Biomass Conversion"/>
    <s v="Drax"/>
    <s v="Yorkshire &amp; the Humber"/>
    <s v="Private"/>
    <s v="No"/>
    <s v="Private"/>
    <s v="In Construction"/>
    <n v="2013"/>
    <n v="2016"/>
    <m/>
    <m/>
    <m/>
    <m/>
    <m/>
    <m/>
    <m/>
    <m/>
    <s v="See notes"/>
    <m/>
    <m/>
    <s v="https://restats.decc.gov.uk/app/reporting/decc/monthlyextract"/>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CCGT"/>
    <m/>
    <m/>
    <s v="Schemes in Scoping"/>
    <m/>
    <s v="UK"/>
    <s v="Private"/>
    <s v="No"/>
    <s v="Private"/>
    <s v="Scoping"/>
    <s v="various"/>
    <s v="various"/>
    <n v="491.5"/>
    <m/>
    <m/>
    <m/>
    <n v="23.55"/>
    <n v="81.239999999999995"/>
    <n v="343.24"/>
    <n v="43.12"/>
    <s v="See notes"/>
    <s v="Constant"/>
    <s v="2012/13"/>
    <m/>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s v="Yes"/>
    <n v="0"/>
    <n v="0"/>
    <n v="23.55"/>
    <n v="81.239999999999995"/>
    <n v="343.24"/>
    <n v="43.12"/>
    <n v="104.78999999999999"/>
    <n v="386.36"/>
    <n v="491.15"/>
  </r>
  <r>
    <x v="1"/>
    <s v="Electricity generation"/>
    <s v="CCGT"/>
    <m/>
    <m/>
    <s v="Schemes in planning"/>
    <m/>
    <s v="UK"/>
    <s v="Private"/>
    <s v="No"/>
    <s v="Private"/>
    <s v="Planning &amp; Consents"/>
    <s v="various"/>
    <s v="various"/>
    <n v="1031"/>
    <m/>
    <m/>
    <m/>
    <n v="103.59"/>
    <n v="176.85"/>
    <n v="750.53"/>
    <m/>
    <s v="See notes"/>
    <s v="Constant"/>
    <s v="2012/13"/>
    <m/>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s v="Yes"/>
    <n v="0"/>
    <n v="0"/>
    <n v="103.59"/>
    <n v="176.85"/>
    <n v="750.53"/>
    <n v="0"/>
    <n v="280.44"/>
    <n v="750.53"/>
    <n v="1030.97"/>
  </r>
  <r>
    <x v="1"/>
    <s v="Electricity generation"/>
    <s v="CCGT"/>
    <m/>
    <m/>
    <s v="Consented schemes"/>
    <m/>
    <s v="UK"/>
    <s v="Private"/>
    <s v="No"/>
    <s v="Private"/>
    <s v="Consents Approved"/>
    <s v="various"/>
    <s v="various"/>
    <n v="2708"/>
    <m/>
    <m/>
    <n v="33.89"/>
    <n v="335.28"/>
    <n v="715.7"/>
    <n v="1622.8"/>
    <m/>
    <s v="See notes"/>
    <s v="Constant"/>
    <s v="2012/13"/>
    <m/>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s v="Yes"/>
    <n v="0"/>
    <n v="33.89"/>
    <n v="335.28"/>
    <n v="715.7"/>
    <n v="1622.8"/>
    <n v="0"/>
    <n v="1084.8699999999999"/>
    <n v="1622.8"/>
    <n v="2707.67"/>
  </r>
  <r>
    <x v="1"/>
    <s v="Electricity generation"/>
    <s v="CCGT"/>
    <m/>
    <m/>
    <s v="Schemes in construction"/>
    <m/>
    <s v="UK"/>
    <s v="Private"/>
    <s v="No"/>
    <s v="Private"/>
    <s v="In Construction"/>
    <s v="various"/>
    <s v="various"/>
    <n v="528.75"/>
    <m/>
    <m/>
    <n v="211.5"/>
    <n v="211.5"/>
    <n v="105.75"/>
    <m/>
    <m/>
    <s v="See notes"/>
    <s v="Constant"/>
    <s v="2012/13"/>
    <m/>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s v="Yes"/>
    <n v="0"/>
    <n v="211.5"/>
    <n v="211.5"/>
    <n v="105.75"/>
    <n v="0"/>
    <n v="0"/>
    <n v="528.75"/>
    <n v="0"/>
    <n v="528.75"/>
  </r>
  <r>
    <x v="1"/>
    <s v="Electricity generation"/>
    <s v="CCGT"/>
    <m/>
    <m/>
    <s v="Abernedd Power Station"/>
    <s v="Baglan Bay 275kV"/>
    <s v="Wales"/>
    <s v="Private"/>
    <s v="No"/>
    <s v="Private"/>
    <s v="Consents Approved"/>
    <n v="2013"/>
    <n v="2016"/>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CCGT"/>
    <m/>
    <m/>
    <s v="Avon Power Station"/>
    <m/>
    <s v="South West"/>
    <s v="Private"/>
    <s v="No"/>
    <s v="Private"/>
    <s v="Planning &amp; Consents"/>
    <n v="2017"/>
    <n v="2020"/>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CCGT"/>
    <m/>
    <m/>
    <s v="C. Gen North Killingholme Power Station"/>
    <s v="C.Gen North Killingholme"/>
    <s v="Yorkshire &amp; the Humber"/>
    <s v="Private"/>
    <s v="No"/>
    <s v="Private"/>
    <s v="Scoping"/>
    <n v="2014"/>
    <n v="2017"/>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CCGT"/>
    <m/>
    <m/>
    <s v="Carrington Power Station"/>
    <s v="Carrington"/>
    <s v="North West"/>
    <s v="Private"/>
    <s v="No"/>
    <s v="Private"/>
    <s v="In Construction"/>
    <n v="2012"/>
    <n v="2015"/>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CCGT"/>
    <m/>
    <m/>
    <s v="Cockenzie"/>
    <m/>
    <s v="Scotland"/>
    <s v="Private"/>
    <s v="No"/>
    <s v="Private"/>
    <s v="Consents Approved"/>
    <n v="2017"/>
    <n v="2020"/>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CCGT"/>
    <m/>
    <m/>
    <s v="Damhead Creek II"/>
    <s v="Damhead Creek 400kV"/>
    <s v="South East"/>
    <s v="Private"/>
    <s v="No"/>
    <s v="Private"/>
    <s v="Consents Approved"/>
    <n v="2014"/>
    <n v="2017"/>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CCGT"/>
    <m/>
    <m/>
    <s v="Drakelow"/>
    <s v="Drakelow"/>
    <s v="East Midlands"/>
    <s v="Private"/>
    <s v="No"/>
    <s v="Private"/>
    <s v="Consents Approved"/>
    <n v="2014"/>
    <n v="2017"/>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CCGT"/>
    <m/>
    <m/>
    <s v="Gateway Energy Centre Power Station"/>
    <s v="Coryton"/>
    <s v="Wales"/>
    <s v="Private"/>
    <s v="No"/>
    <s v="Private"/>
    <s v="Consents Approved"/>
    <n v="2015"/>
    <n v="2018"/>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CCGT"/>
    <m/>
    <m/>
    <s v="Keadby II"/>
    <s v="Keadby 132kV"/>
    <s v="Yorkshire &amp; the Humber"/>
    <s v="Private"/>
    <s v="No"/>
    <s v="Private"/>
    <s v="Planning &amp; Consents"/>
    <n v="2014"/>
    <n v="2017"/>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CCGT"/>
    <m/>
    <m/>
    <s v="Kings Lynn B"/>
    <s v="Kings Lynn B 400kV Substation"/>
    <s v="East of England"/>
    <s v="Private"/>
    <s v="No"/>
    <s v="Private"/>
    <s v="Consents Approved"/>
    <n v="2015"/>
    <n v="2018"/>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CCGT"/>
    <m/>
    <m/>
    <s v="Knottingley Power Station"/>
    <s v="N/A"/>
    <s v="Yorkshire &amp; the Humber"/>
    <s v="Private"/>
    <s v="No"/>
    <s v="Private"/>
    <s v="Scoping"/>
    <n v="2016"/>
    <n v="2019"/>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CCGT"/>
    <m/>
    <m/>
    <s v="Seabank 3"/>
    <s v="Seabank"/>
    <s v="South West"/>
    <s v="Private"/>
    <s v="No"/>
    <s v="Private"/>
    <s v="Planning &amp; Consents"/>
    <n v="2017"/>
    <n v="2020"/>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CCGT"/>
    <m/>
    <m/>
    <s v="Thor Cogeneration (Brine Field/Seal Sands)"/>
    <m/>
    <s v="North East"/>
    <s v="Private"/>
    <s v="No"/>
    <s v="Private"/>
    <s v="Consents Approved"/>
    <n v="2015"/>
    <n v="2018"/>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CCGT"/>
    <m/>
    <m/>
    <s v="Spalding Energy Expansion"/>
    <s v="Spalding North 400kV Substation"/>
    <s v="East Midlands"/>
    <s v="Private"/>
    <s v="No"/>
    <s v="Private"/>
    <s v="Consents Approved"/>
    <n v="2015"/>
    <n v="2018"/>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CCGT"/>
    <m/>
    <m/>
    <s v="Sutton Bridge B"/>
    <m/>
    <s v="East Midlands"/>
    <s v="Private"/>
    <s v="No"/>
    <s v="Private"/>
    <s v="Consents Approved"/>
    <n v="2016"/>
    <n v="2019"/>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CCGT"/>
    <m/>
    <m/>
    <s v="Thorpe Marsh"/>
    <s v="Thorpe Marsh 400kV Substation"/>
    <s v="Yorkshire &amp; the Humber"/>
    <s v="Private"/>
    <s v="No"/>
    <s v="Private"/>
    <s v="Consents Approved"/>
    <n v="2014"/>
    <n v="2017"/>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CCGT"/>
    <m/>
    <m/>
    <s v="Tilbury C "/>
    <s v="Tilbury 400kV Substation"/>
    <s v="East of England"/>
    <s v="Private"/>
    <s v="No"/>
    <s v="Private"/>
    <s v="Planning &amp; Consents"/>
    <n v="2017"/>
    <n v="2020"/>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CCGT"/>
    <m/>
    <m/>
    <s v="Trafford Power - Stage 1"/>
    <s v="Carrington 400kV"/>
    <s v="North West"/>
    <s v="Private"/>
    <s v="No"/>
    <s v="Private"/>
    <s v="Planning &amp; Consents"/>
    <n v="2014"/>
    <n v="2017"/>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CCGT"/>
    <m/>
    <m/>
    <s v="Trafford Power - Stage 2"/>
    <s v="Carrington 400kV"/>
    <s v="North West"/>
    <s v="Private"/>
    <s v="No"/>
    <s v="Private"/>
    <s v="Planning &amp; Consents"/>
    <n v="2016"/>
    <n v="2019"/>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CCGT"/>
    <m/>
    <m/>
    <s v="Willington"/>
    <m/>
    <s v="East Midlands"/>
    <s v="Private"/>
    <s v="No"/>
    <s v="Private"/>
    <s v="Consents Approved"/>
    <n v="2016"/>
    <n v="2019"/>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CCGT"/>
    <m/>
    <m/>
    <s v="Wrexham"/>
    <m/>
    <s v="Wales"/>
    <s v="Private"/>
    <s v="No"/>
    <s v="Private"/>
    <s v="Scoping"/>
    <n v="2015"/>
    <n v="2018"/>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CCGT"/>
    <m/>
    <m/>
    <s v="Hirwaun"/>
    <m/>
    <s v="Wales"/>
    <s v="Private"/>
    <s v="No"/>
    <s v="Private"/>
    <s v="Scoping"/>
    <n v="2017"/>
    <n v="2020"/>
    <m/>
    <m/>
    <m/>
    <m/>
    <m/>
    <m/>
    <m/>
    <m/>
    <s v="See notes"/>
    <m/>
    <m/>
    <s v="https://www.gov.uk/government/organisations/department-of-energy-climate-change"/>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CCGT"/>
    <m/>
    <m/>
    <s v="Meaford Energy Centre"/>
    <m/>
    <s v="West Midlands"/>
    <s v="Private"/>
    <s v="No"/>
    <s v="Private"/>
    <s v="Scoping"/>
    <n v="2018"/>
    <n v="2021"/>
    <m/>
    <m/>
    <m/>
    <m/>
    <m/>
    <m/>
    <m/>
    <m/>
    <s v="See notes"/>
    <m/>
    <m/>
    <s v="https://www.gov.uk/government/organisations/department-of-energy-climate-change"/>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CCGT"/>
    <m/>
    <m/>
    <s v="Progress Power Station"/>
    <m/>
    <s v="East of England"/>
    <s v="Private"/>
    <s v="No"/>
    <s v="Private"/>
    <s v="Scoping"/>
    <n v="2020"/>
    <n v="2023"/>
    <m/>
    <m/>
    <m/>
    <m/>
    <m/>
    <m/>
    <m/>
    <m/>
    <s v="See notes"/>
    <m/>
    <m/>
    <s v="https://www.gov.uk/government/organisations/department-of-energy-climate-change"/>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CCS"/>
    <m/>
    <m/>
    <s v="Schemes in scoping"/>
    <m/>
    <s v="UK"/>
    <s v="Private"/>
    <s v="No"/>
    <s v="Private"/>
    <s v="Scoping"/>
    <s v="various"/>
    <s v="various"/>
    <n v="762.58"/>
    <m/>
    <m/>
    <m/>
    <m/>
    <n v="175.39"/>
    <n v="587.19000000000005"/>
    <m/>
    <s v="See notes"/>
    <s v="Constant"/>
    <s v="2012/13"/>
    <m/>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175.39"/>
    <n v="587.19000000000005"/>
    <n v="0"/>
    <n v="175.39"/>
    <n v="587.19000000000005"/>
    <n v="762.58"/>
  </r>
  <r>
    <x v="1"/>
    <s v="Electricity generation"/>
    <s v="CCS Demonstrator"/>
    <m/>
    <m/>
    <s v="Schemes in scoping"/>
    <m/>
    <s v="UK"/>
    <s v="Private"/>
    <s v="No"/>
    <s v="Private"/>
    <s v="Scoping"/>
    <s v="various"/>
    <s v="various"/>
    <n v="254.27"/>
    <m/>
    <m/>
    <m/>
    <n v="58.46"/>
    <n v="73.75"/>
    <n v="122.06"/>
    <m/>
    <s v="See notes"/>
    <s v="Constant"/>
    <s v="2012/13"/>
    <m/>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s v="Yes"/>
    <n v="0"/>
    <n v="0"/>
    <n v="58.46"/>
    <n v="73.75"/>
    <n v="122.06"/>
    <n v="0"/>
    <n v="132.21"/>
    <n v="122.06"/>
    <n v="254.27"/>
  </r>
  <r>
    <x v="1"/>
    <s v="Electricity generation"/>
    <s v="CCS"/>
    <m/>
    <m/>
    <s v="Consented schemes"/>
    <m/>
    <s v="UK"/>
    <s v="Private"/>
    <s v="No"/>
    <s v="Private"/>
    <s v="Consents Approved"/>
    <s v="various"/>
    <s v="various"/>
    <n v="1595"/>
    <m/>
    <m/>
    <m/>
    <n v="366.84"/>
    <n v="462.53"/>
    <n v="765.57"/>
    <m/>
    <s v="See notes"/>
    <s v="Constant"/>
    <s v="2012/13"/>
    <m/>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366.84"/>
    <n v="462.53"/>
    <n v="765.57"/>
    <n v="0"/>
    <n v="829.36999999999989"/>
    <n v="765.57"/>
    <n v="1594.94"/>
  </r>
  <r>
    <x v="1"/>
    <s v="Electricity generation"/>
    <s v="CCS"/>
    <m/>
    <m/>
    <s v="Don Valley CCS project"/>
    <s v="Thorpe Marsh 400kV Substation"/>
    <s v="Yorkshire &amp; the Humber"/>
    <s v="Private"/>
    <s v="No"/>
    <s v="Private"/>
    <s v="Consents Approved"/>
    <s v="TBC"/>
    <s v="TBC"/>
    <m/>
    <m/>
    <m/>
    <m/>
    <m/>
    <m/>
    <m/>
    <m/>
    <s v="See notes"/>
    <m/>
    <m/>
    <s v="https://www.gov.uk/government/organisations/department-of-energy-climate-change"/>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CCS"/>
    <m/>
    <m/>
    <s v="Peterhead CCS project"/>
    <m/>
    <s v="Scotland"/>
    <s v="Private"/>
    <s v="No"/>
    <s v="Private"/>
    <s v="Scoping"/>
    <s v="TBC"/>
    <s v="TBC"/>
    <m/>
    <m/>
    <m/>
    <m/>
    <m/>
    <m/>
    <m/>
    <m/>
    <s v="See notes"/>
    <m/>
    <m/>
    <s v="https://www.gov.uk/government/organisations/department-of-energy-climate-change"/>
    <s v="Data for electricity generation has been drawn from DECC, National Grid TEC register (14 October 2013), Renewable Energy Planning Database (REPD), Developer websites and HM Treasury estimates except Hinkley Point C. "/>
    <s v="Preferred Bidder under UK Government's CCS Commercialisation Programme. 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s v="Yes"/>
    <n v="0"/>
    <n v="0"/>
    <n v="0"/>
    <n v="0"/>
    <n v="0"/>
    <n v="0"/>
    <n v="0"/>
    <n v="0"/>
    <n v="0"/>
  </r>
  <r>
    <x v="1"/>
    <s v="Electricity generation"/>
    <s v="CCS"/>
    <m/>
    <m/>
    <s v="Captain Clean Energy CCS Project"/>
    <m/>
    <s v="Scotland"/>
    <s v="Private"/>
    <s v="No"/>
    <s v="Private"/>
    <s v="Scoping"/>
    <s v="TBC"/>
    <s v="TBC"/>
    <m/>
    <m/>
    <m/>
    <m/>
    <m/>
    <m/>
    <m/>
    <m/>
    <s v="See notes"/>
    <m/>
    <m/>
    <s v="https://www.gov.uk/government/organisations/department-of-energy-climate-change"/>
    <s v="Data for electricity generation has been drawn from DECC, National Grid TEC register (14 October 2013), Renewable Energy Planning Database (REPD), Developer websites and HM Treasury estimates except Hinkley Point C. "/>
    <s v="Reserve Bidder under UK Government's CCS Commercialisation Programme. 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CCS"/>
    <m/>
    <m/>
    <s v="Teeside Low Carbon CCS Project"/>
    <m/>
    <s v="North East"/>
    <s v="Private"/>
    <s v="No"/>
    <s v="Private"/>
    <s v="Scoping"/>
    <s v="TBC"/>
    <s v="TBC"/>
    <m/>
    <m/>
    <m/>
    <m/>
    <m/>
    <m/>
    <m/>
    <m/>
    <s v="See notes"/>
    <m/>
    <m/>
    <s v="https://www.gov.uk/government/organisations/department-of-energy-climate-change"/>
    <s v="Data for electricity generation has been drawn from DECC, National Grid TEC register (14 October 2013), Renewable Energy Planning Database (REPD), Developer websites and HM Treasury estimates except Hinkley Point C. "/>
    <s v="Reserve Bidder under UK Government's CCS Commercialisation Programme. 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CCS"/>
    <m/>
    <m/>
    <s v="White Rose CCS project"/>
    <m/>
    <s v="Yorkshire &amp; the Humber"/>
    <s v="Private"/>
    <s v="No"/>
    <s v="Private"/>
    <s v="Scoping"/>
    <s v="TBC"/>
    <s v="TBC"/>
    <m/>
    <m/>
    <m/>
    <m/>
    <m/>
    <m/>
    <m/>
    <m/>
    <s v="See notes"/>
    <m/>
    <m/>
    <s v="https://www.gov.uk/government/organisations/department-of-energy-climate-change"/>
    <s v="Data for electricity generation has been drawn from DECC, National Grid TEC register (14 October 2013), Renewable Energy Planning Database (REPD), Developer websites and HM Treasury estimates except Hinkley Point C. "/>
    <s v="Preferred Bidder under UK Government's CCS Commercialisation Programme. 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s v="Yes"/>
    <n v="0"/>
    <n v="0"/>
    <n v="0"/>
    <n v="0"/>
    <n v="0"/>
    <n v="0"/>
    <n v="0"/>
    <n v="0"/>
    <n v="0"/>
  </r>
  <r>
    <x v="1"/>
    <s v="Electricity generation"/>
    <s v="Interconnector"/>
    <m/>
    <m/>
    <s v="Schemes in Scoping"/>
    <m/>
    <s v="Offshore"/>
    <s v="Private"/>
    <s v="No"/>
    <s v="Private"/>
    <s v="Scoping"/>
    <s v="various"/>
    <s v="various"/>
    <n v="2900"/>
    <m/>
    <m/>
    <m/>
    <n v="82.5"/>
    <n v="85"/>
    <n v="2013.5"/>
    <n v="719"/>
    <s v="See notes"/>
    <s v="Constant"/>
    <s v="2012/13"/>
    <m/>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82.5"/>
    <n v="85"/>
    <n v="2013.5"/>
    <n v="719"/>
    <n v="167.5"/>
    <n v="2732.5"/>
    <n v="2900"/>
  </r>
  <r>
    <x v="1"/>
    <s v="Electricity generation"/>
    <s v="Interconnector"/>
    <m/>
    <m/>
    <s v="Belgium Interconnector"/>
    <s v="Richborough 400kV Substation"/>
    <s v="Offshore"/>
    <s v="Private"/>
    <s v="No"/>
    <s v="Private"/>
    <s v="Scoping"/>
    <n v="2014"/>
    <n v="2018"/>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Interconnector"/>
    <m/>
    <m/>
    <s v="France Interconnector"/>
    <s v="Sellindge 400kV Substation"/>
    <s v="Offshore"/>
    <s v="Private"/>
    <s v="No"/>
    <s v="Private"/>
    <s v="Scoping"/>
    <n v="2019"/>
    <n v="2023"/>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Interconnector"/>
    <m/>
    <m/>
    <s v="France Interconnector"/>
    <s v="Sellindge 400kV Substation"/>
    <s v="Offshore"/>
    <s v="Private"/>
    <s v="No"/>
    <s v="Private"/>
    <s v="Scoping"/>
    <n v="2014"/>
    <n v="2018"/>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Interconnector"/>
    <m/>
    <m/>
    <s v="IFA2 Interconnector"/>
    <s v="Chilling 400kV Substation"/>
    <s v="Offshore"/>
    <s v="Private"/>
    <s v="No"/>
    <s v="Private"/>
    <s v="Scoping"/>
    <n v="2015"/>
    <n v="2019"/>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Interconnector"/>
    <m/>
    <m/>
    <s v="Norway Interconnector"/>
    <s v="Peterhead 400kV Substation"/>
    <s v="Offshore"/>
    <s v="Private"/>
    <s v="No"/>
    <s v="Private"/>
    <s v="Scoping"/>
    <n v="2017"/>
    <n v="2021"/>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Interconnector"/>
    <m/>
    <m/>
    <s v="Norway Interconnector"/>
    <s v="Blyth 400kV Substation"/>
    <s v="Offshore"/>
    <s v="Private"/>
    <s v="No"/>
    <s v="Private"/>
    <s v="Scoping"/>
    <n v="2015"/>
    <n v="2019"/>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Nuclear"/>
    <m/>
    <m/>
    <s v="Other schemes in scoping"/>
    <m/>
    <s v="England"/>
    <s v="Private"/>
    <s v="No"/>
    <s v="Private"/>
    <s v="Scoping"/>
    <s v="various"/>
    <s v="various"/>
    <n v="31510.83"/>
    <m/>
    <m/>
    <m/>
    <m/>
    <m/>
    <m/>
    <n v="31510.83"/>
    <s v="See notes"/>
    <s v="Constant"/>
    <s v="2012/13"/>
    <m/>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31510.83"/>
    <n v="0"/>
    <n v="31510.83"/>
    <n v="31510.83"/>
  </r>
  <r>
    <x v="1"/>
    <s v="Electricity generation"/>
    <s v="Nuclear"/>
    <m/>
    <m/>
    <s v="Hinkley Point C"/>
    <s v="Hinkley 400kV Substation"/>
    <s v="South West"/>
    <s v="Private"/>
    <s v="No"/>
    <s v="Private"/>
    <s v="Consents Approved"/>
    <n v="2015"/>
    <n v="2023"/>
    <n v="16000"/>
    <m/>
    <m/>
    <m/>
    <m/>
    <n v="1000"/>
    <n v="8000"/>
    <n v="7000"/>
    <s v="See notes"/>
    <s v="Constant"/>
    <s v="2012/13"/>
    <s v="http://edfenergy.presscentre.com/News-Releases/Agreement-reached-on-commercial-terms-for-the-planned-Hinkley-Point-C-nuclear-power-station-82.aspx"/>
    <s v="EDF "/>
    <s v="EDF press relese"/>
    <s v="Yes"/>
    <n v="0"/>
    <n v="0"/>
    <n v="0"/>
    <n v="1000"/>
    <n v="8000"/>
    <n v="7000"/>
    <n v="1000"/>
    <n v="15000"/>
    <n v="16000"/>
  </r>
  <r>
    <x v="1"/>
    <s v="Electricity generation"/>
    <s v="Nuclear"/>
    <m/>
    <m/>
    <s v="Moorside "/>
    <s v="Sellafield 400kV Substation"/>
    <s v="North West"/>
    <s v="Private"/>
    <s v="No"/>
    <s v="Private"/>
    <s v="Scoping"/>
    <n v="2018"/>
    <n v="2024"/>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Nuclear"/>
    <m/>
    <m/>
    <s v="Oldbury B"/>
    <s v="Oldbury-on-Severn 400kV Substation"/>
    <s v="South West"/>
    <s v="Private"/>
    <s v="No"/>
    <s v="Private"/>
    <s v="Scoping"/>
    <n v="2021"/>
    <n v="2026"/>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Nuclear"/>
    <m/>
    <m/>
    <s v="Sizewell C"/>
    <s v="Sizewell North 400kV Substation"/>
    <s v="East of England"/>
    <s v="Private"/>
    <s v="No"/>
    <s v="Private"/>
    <s v="Scoping"/>
    <n v="2020"/>
    <n v="2025"/>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Nuclear"/>
    <m/>
    <m/>
    <s v="Wylfa Newydd"/>
    <s v="Wylfa 400kV Substation"/>
    <s v="Wales"/>
    <s v="Private"/>
    <s v="No"/>
    <s v="Private"/>
    <s v="Scoping"/>
    <n v="2018"/>
    <n v="2024"/>
    <n v="15000"/>
    <m/>
    <m/>
    <m/>
    <m/>
    <m/>
    <n v="5000"/>
    <n v="10000"/>
    <s v="See notes"/>
    <s v="Constant"/>
    <s v="2012/13"/>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s v="Yes"/>
    <n v="0"/>
    <n v="0"/>
    <n v="0"/>
    <n v="0"/>
    <n v="5000"/>
    <n v="10000"/>
    <n v="0"/>
    <n v="15000"/>
    <n v="15000"/>
  </r>
  <r>
    <x v="1"/>
    <s v="Electricity generation"/>
    <s v="Other Renewables (large)"/>
    <s v="Assorted capacity projects"/>
    <m/>
    <m/>
    <m/>
    <s v="UK"/>
    <s v="Private"/>
    <s v="No"/>
    <s v="Private"/>
    <s v="Scoping"/>
    <s v="various"/>
    <s v="various"/>
    <n v="3200"/>
    <m/>
    <m/>
    <m/>
    <n v="533.33333333333326"/>
    <n v="533.33333333333326"/>
    <n v="2133.33"/>
    <m/>
    <s v="See notes"/>
    <s v="Constant"/>
    <s v="2012/13"/>
    <m/>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533.33333333333326"/>
    <n v="533.33333333333326"/>
    <n v="2133.33"/>
    <n v="0"/>
    <n v="1066.6666666666665"/>
    <n v="2133.33"/>
    <n v="3199.9966666666664"/>
  </r>
  <r>
    <x v="1"/>
    <s v="Electricity generation"/>
    <s v="Other Renewables (small)"/>
    <s v="Assorted capacity projects"/>
    <m/>
    <m/>
    <m/>
    <s v="UK"/>
    <s v="Private"/>
    <s v="No"/>
    <s v="Private"/>
    <s v="Scoping"/>
    <s v="various"/>
    <s v="various"/>
    <n v="10000"/>
    <m/>
    <m/>
    <m/>
    <n v="1666.6666666666665"/>
    <n v="1666.6666666666665"/>
    <n v="6666.67"/>
    <m/>
    <s v="See notes"/>
    <s v="Constant"/>
    <s v="2012/13"/>
    <m/>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1666.6666666666665"/>
    <n v="1666.6666666666665"/>
    <n v="6666.67"/>
    <n v="0"/>
    <n v="3333.333333333333"/>
    <n v="6666.67"/>
    <n v="10000.003333333334"/>
  </r>
  <r>
    <x v="1"/>
    <s v="Electricity generation"/>
    <s v="Tidal"/>
    <m/>
    <m/>
    <s v="Schemes in Scoping"/>
    <m/>
    <s v="UK"/>
    <s v="Private"/>
    <s v="No"/>
    <s v="Private"/>
    <s v="Scoping"/>
    <s v="various"/>
    <s v="various"/>
    <n v="2847.46"/>
    <m/>
    <m/>
    <m/>
    <m/>
    <m/>
    <n v="1030.1300000000001"/>
    <n v="1817.33"/>
    <s v="See notes"/>
    <s v="Constant"/>
    <s v="2012/13"/>
    <m/>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s v="Yes"/>
    <n v="0"/>
    <n v="0"/>
    <n v="0"/>
    <n v="0"/>
    <n v="1030.1300000000001"/>
    <n v="1817.33"/>
    <n v="0"/>
    <n v="2847.46"/>
    <n v="2847.46"/>
  </r>
  <r>
    <x v="1"/>
    <s v="Electricity generation"/>
    <s v="Tidal"/>
    <m/>
    <m/>
    <s v="Schemes in planning"/>
    <m/>
    <s v="UK"/>
    <s v="Private"/>
    <s v="No"/>
    <s v="Private"/>
    <s v="Planning &amp; Consents"/>
    <s v="various"/>
    <s v="various"/>
    <n v="30.75"/>
    <m/>
    <m/>
    <m/>
    <m/>
    <m/>
    <n v="30.75"/>
    <m/>
    <s v="See notes"/>
    <s v="Constant"/>
    <s v="2012/13"/>
    <m/>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s v="Yes"/>
    <n v="0"/>
    <n v="0"/>
    <n v="0"/>
    <n v="0"/>
    <n v="30.75"/>
    <n v="0"/>
    <n v="0"/>
    <n v="30.75"/>
    <n v="30.75"/>
  </r>
  <r>
    <x v="1"/>
    <s v="Electricity generation"/>
    <s v="Tidal"/>
    <m/>
    <m/>
    <s v="Consented schemes"/>
    <m/>
    <s v="UK"/>
    <s v="Private"/>
    <s v="No"/>
    <s v="Private"/>
    <s v="Consents Approved"/>
    <s v="various"/>
    <s v="various"/>
    <n v="65.599999999999994"/>
    <m/>
    <m/>
    <m/>
    <n v="16.399999999999999"/>
    <n v="16.399999999999999"/>
    <n v="32.799999999999997"/>
    <m/>
    <s v="See notes"/>
    <s v="Constant"/>
    <s v="2012/13"/>
    <m/>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s v="Yes"/>
    <n v="0"/>
    <n v="0"/>
    <n v="16.399999999999999"/>
    <n v="16.399999999999999"/>
    <n v="32.799999999999997"/>
    <n v="0"/>
    <n v="32.799999999999997"/>
    <n v="32.799999999999997"/>
    <n v="65.599999999999994"/>
  </r>
  <r>
    <x v="1"/>
    <s v="Electricity generation"/>
    <s v="Tidal"/>
    <m/>
    <m/>
    <s v="Alderney Renewable Energy"/>
    <s v="Fawley 400kV Substation"/>
    <s v="South East"/>
    <s v="Private"/>
    <s v="No"/>
    <s v="Private"/>
    <s v="Scoping"/>
    <n v="2015"/>
    <n v="2017"/>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Tidal"/>
    <m/>
    <m/>
    <s v="Alderney Renewable Energy"/>
    <s v="Fawley 400kV Substation"/>
    <s v="South East"/>
    <s v="Private"/>
    <s v="No"/>
    <s v="Private"/>
    <s v="Scoping"/>
    <n v="2016"/>
    <n v="2018"/>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Tidal"/>
    <m/>
    <m/>
    <s v="Alderney Renewable Energy"/>
    <s v="Fawley 400kV Substation"/>
    <s v="South East"/>
    <s v="Private"/>
    <s v="No"/>
    <s v="Private"/>
    <s v="Scoping"/>
    <n v="2017"/>
    <n v="2019"/>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Tidal"/>
    <m/>
    <m/>
    <s v="Alderney Renewable Energy"/>
    <s v="Fawley 400kV Substation"/>
    <s v="South East"/>
    <s v="Private"/>
    <s v="No"/>
    <s v="Private"/>
    <s v="Scoping"/>
    <n v="2018"/>
    <n v="2020"/>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Tidal"/>
    <m/>
    <m/>
    <s v="Alderney Renewable Energy"/>
    <s v="Fawley 400kV Substation"/>
    <s v="South East"/>
    <s v="Private"/>
    <s v="No"/>
    <s v="Private"/>
    <s v="Scoping"/>
    <n v="2019"/>
    <n v="2021"/>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Tidal"/>
    <m/>
    <m/>
    <s v="Alderney Renewable Energy"/>
    <s v="Fawley 400kV Substation"/>
    <s v="South East"/>
    <s v="Private"/>
    <s v="No"/>
    <s v="Private"/>
    <s v="Scoping"/>
    <n v="2020"/>
    <n v="2022"/>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Tidal"/>
    <m/>
    <m/>
    <s v="Alderney Renewable Energy"/>
    <s v="Fawley 400kV Substation"/>
    <s v="South East"/>
    <s v="Private"/>
    <s v="No"/>
    <s v="Private"/>
    <s v="Scoping"/>
    <n v="2021"/>
    <n v="2023"/>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Tidal"/>
    <m/>
    <m/>
    <s v="Alderney Renewable Energy"/>
    <s v="Fawley 400kV Substation"/>
    <s v="South East"/>
    <s v="Private"/>
    <s v="No"/>
    <s v="Private"/>
    <s v="Scoping"/>
    <n v="2022"/>
    <n v="2024"/>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Tidal"/>
    <m/>
    <m/>
    <s v="Duncansby Tidal Array"/>
    <s v="Gills Bay 132/33kV Substation"/>
    <s v="Scotland"/>
    <s v="Private"/>
    <s v="No"/>
    <s v="Private"/>
    <s v="Scoping"/>
    <n v="2017"/>
    <n v="2019"/>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Tidal"/>
    <m/>
    <m/>
    <s v="Duncansby Tidal Array"/>
    <s v="Gills Bay 132/33kV Substation"/>
    <s v="Scotland"/>
    <s v="Private"/>
    <s v="No"/>
    <s v="Private"/>
    <s v="Scoping"/>
    <n v="2018"/>
    <n v="2020"/>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Tidal"/>
    <m/>
    <m/>
    <s v="Duncansby Tidal Array"/>
    <s v="Gills Bay 132/33kV Substation"/>
    <s v="Scotland"/>
    <s v="Private"/>
    <s v="No"/>
    <s v="Private"/>
    <s v="Scoping"/>
    <n v="2016"/>
    <n v="2018"/>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Tidal"/>
    <m/>
    <m/>
    <s v="MeyGen Tidal"/>
    <s v="Gills Bay"/>
    <s v="Scotland"/>
    <s v="Private"/>
    <s v="No"/>
    <s v="Private"/>
    <s v="Planning &amp; Consents"/>
    <n v="2017"/>
    <n v="2019"/>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Tidal"/>
    <m/>
    <m/>
    <s v="Sound of Islay Tidal"/>
    <s v="Islay"/>
    <s v="Scotland"/>
    <s v="Private"/>
    <s v="No"/>
    <s v="Private"/>
    <s v="Consents Approved"/>
    <n v="2016"/>
    <n v="2018"/>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Tidal"/>
    <m/>
    <m/>
    <s v="Skerries"/>
    <s v="Skerries - Tidal "/>
    <s v="Wales"/>
    <s v="Private"/>
    <s v="No"/>
    <s v="Private"/>
    <s v="Consents Approved"/>
    <n v="2014"/>
    <n v="2016"/>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Tidal"/>
    <m/>
    <m/>
    <s v="Westray South and Cantick Head "/>
    <s v="Westray South and Cantick Head - Tidal "/>
    <s v="Scotland"/>
    <s v="Private"/>
    <s v="No"/>
    <s v="Private"/>
    <s v="Scoping"/>
    <n v="2018"/>
    <n v="2020"/>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Tidal"/>
    <m/>
    <m/>
    <s v="Brough Ness"/>
    <s v="Brough Ness - Tidal "/>
    <s v="Scotland"/>
    <s v="Private"/>
    <s v="No"/>
    <s v="Private"/>
    <s v="Scoping"/>
    <n v="2018"/>
    <n v="2020"/>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Tidal"/>
    <m/>
    <m/>
    <s v="Torr Head, Fair Head"/>
    <s v="Torr Head, Fair Head - Tidal "/>
    <s v="Scotland"/>
    <s v="Private"/>
    <s v="No"/>
    <s v="Private"/>
    <s v="Scoping"/>
    <n v="2018"/>
    <n v="2020"/>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ave"/>
    <m/>
    <m/>
    <s v="Schemes in Scoping"/>
    <m/>
    <s v="Offshore"/>
    <s v="Private"/>
    <s v="No"/>
    <s v="Private"/>
    <s v="Scoping"/>
    <s v="various"/>
    <s v="various"/>
    <n v="117.6"/>
    <m/>
    <m/>
    <m/>
    <m/>
    <m/>
    <n v="85.8"/>
    <n v="31.8"/>
    <s v="See notes"/>
    <s v="Constant"/>
    <s v="2012/13"/>
    <m/>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s v="Yes"/>
    <n v="0"/>
    <n v="0"/>
    <n v="0"/>
    <n v="0"/>
    <n v="85.8"/>
    <n v="31.8"/>
    <n v="0"/>
    <n v="117.6"/>
    <n v="117.6"/>
  </r>
  <r>
    <x v="1"/>
    <s v="Electricity generation"/>
    <s v="Wave"/>
    <m/>
    <m/>
    <s v="Schemes in planning"/>
    <m/>
    <s v="Offshore"/>
    <s v="Private"/>
    <s v="No"/>
    <s v="Private"/>
    <s v="Planning &amp; Consents"/>
    <s v="various"/>
    <s v="various"/>
    <n v="1800"/>
    <m/>
    <m/>
    <m/>
    <m/>
    <m/>
    <n v="1160"/>
    <n v="640"/>
    <s v="See notes"/>
    <s v="Constant"/>
    <s v="2012/13"/>
    <m/>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s v="Yes"/>
    <n v="0"/>
    <n v="0"/>
    <n v="0"/>
    <n v="0"/>
    <n v="1160"/>
    <n v="640"/>
    <n v="0"/>
    <n v="1800"/>
    <n v="1800"/>
  </r>
  <r>
    <x v="1"/>
    <s v="Electricity generation"/>
    <s v="Wave"/>
    <m/>
    <m/>
    <s v="Consented schemes"/>
    <m/>
    <s v="Offshore"/>
    <s v="Private"/>
    <s v="No"/>
    <s v="Private"/>
    <s v="Consents Approved"/>
    <s v="various"/>
    <s v="various"/>
    <n v="256"/>
    <m/>
    <m/>
    <m/>
    <m/>
    <m/>
    <n v="256"/>
    <m/>
    <s v="See notes"/>
    <s v="Constant"/>
    <s v="2012/13"/>
    <m/>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s v="Yes"/>
    <n v="0"/>
    <n v="0"/>
    <n v="0"/>
    <n v="0"/>
    <n v="256"/>
    <n v="0"/>
    <n v="0"/>
    <n v="256"/>
    <n v="256"/>
  </r>
  <r>
    <x v="1"/>
    <s v="Electricity generation"/>
    <s v="Wave"/>
    <m/>
    <m/>
    <s v="Costa Head and Brough Head Phase 1"/>
    <s v="Bay of Skaill 132/33kV substation"/>
    <s v="Offshore"/>
    <s v="Private"/>
    <s v="No"/>
    <s v="Private"/>
    <s v="Planning &amp; Consents"/>
    <n v="2016"/>
    <n v="2018"/>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ave"/>
    <m/>
    <m/>
    <s v="Costa Head and Brough Head Phase 2"/>
    <s v="Bay of Skaill 132/33kV substation"/>
    <s v="Offshore"/>
    <s v="Private"/>
    <s v="No"/>
    <s v="Private"/>
    <s v="Planning &amp; Consents"/>
    <n v="2018"/>
    <n v="2020"/>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ave"/>
    <m/>
    <m/>
    <s v="Lag Na Greine Phase 1"/>
    <s v="Siadar"/>
    <s v="Offshore"/>
    <s v="Private"/>
    <s v="No"/>
    <s v="Private"/>
    <s v="Consents Approved"/>
    <n v="2015"/>
    <n v="2017"/>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ave"/>
    <m/>
    <m/>
    <s v="Lag Na Greine Phase 2"/>
    <s v="Siadar"/>
    <s v="Offshore"/>
    <s v="Private"/>
    <s v="No"/>
    <s v="Private"/>
    <s v="Consents Approved"/>
    <n v="2016"/>
    <n v="2018"/>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ave"/>
    <m/>
    <m/>
    <s v="Lag Na Greine Phase 3"/>
    <s v="Siadar"/>
    <s v="Offshore"/>
    <s v="Private"/>
    <s v="No"/>
    <s v="Private"/>
    <s v="Consents Approved"/>
    <n v="2017"/>
    <n v="2019"/>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ave"/>
    <m/>
    <m/>
    <s v="Marwick Head Wave Farm"/>
    <s v="Bay of Skaill"/>
    <s v="Offshore"/>
    <s v="Private"/>
    <s v="No"/>
    <s v="Private"/>
    <s v="Scoping"/>
    <n v="2017"/>
    <n v="2019"/>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ave"/>
    <m/>
    <m/>
    <s v="Marwick Head Wave Farm"/>
    <s v="Bay of Skaill"/>
    <s v="Offshore"/>
    <s v="Private"/>
    <s v="No"/>
    <s v="Private"/>
    <s v="Scoping"/>
    <n v="2018"/>
    <n v="2020"/>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ave"/>
    <m/>
    <m/>
    <s v="Marwick Head Wave Farm"/>
    <s v="Bay of Skaill"/>
    <s v="Offshore"/>
    <s v="Private"/>
    <s v="No"/>
    <s v="Private"/>
    <s v="Scoping"/>
    <n v="2016"/>
    <n v="2018"/>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ave"/>
    <m/>
    <m/>
    <s v="Farr Point"/>
    <s v="Farr Point Wave"/>
    <s v="Offshore"/>
    <s v="Private"/>
    <s v="No"/>
    <s v="Private"/>
    <s v="Scoping"/>
    <n v="2016"/>
    <n v="2018"/>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ffshore"/>
    <m/>
    <m/>
    <s v="Schemes in Scoping"/>
    <m/>
    <s v="Offshore"/>
    <s v="Private"/>
    <s v="No"/>
    <s v="Private"/>
    <s v="Scoping"/>
    <s v="various"/>
    <s v="various"/>
    <n v="25803.3"/>
    <m/>
    <m/>
    <m/>
    <m/>
    <m/>
    <n v="7106.52"/>
    <n v="18696.78"/>
    <s v="See notes"/>
    <s v="Constant"/>
    <s v="2012/13"/>
    <m/>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s v="Yes"/>
    <n v="0"/>
    <n v="0"/>
    <n v="0"/>
    <n v="0"/>
    <n v="7106.52"/>
    <n v="18696.78"/>
    <n v="0"/>
    <n v="25803.3"/>
    <n v="25803.3"/>
  </r>
  <r>
    <x v="1"/>
    <s v="Electricity generation"/>
    <s v="Wind Offshore"/>
    <m/>
    <m/>
    <s v="Schemes in planning"/>
    <m/>
    <s v="Offshore"/>
    <s v="Private"/>
    <s v="No"/>
    <s v="Private"/>
    <s v="Planning &amp; Consents"/>
    <s v="various"/>
    <s v="various"/>
    <n v="6068"/>
    <m/>
    <m/>
    <m/>
    <n v="138.75"/>
    <n v="450.5"/>
    <n v="4640.43"/>
    <n v="838.58"/>
    <s v="See notes"/>
    <s v="Constant"/>
    <s v="2012/13"/>
    <m/>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s v="Yes"/>
    <n v="0"/>
    <n v="0"/>
    <n v="138.75"/>
    <n v="450.5"/>
    <n v="4640.43"/>
    <n v="838.58"/>
    <n v="589.25"/>
    <n v="5479.01"/>
    <n v="6068.26"/>
  </r>
  <r>
    <x v="1"/>
    <s v="Electricity generation"/>
    <s v="Wind Offshore"/>
    <m/>
    <m/>
    <s v="Consented schemes"/>
    <m/>
    <s v="Offshore"/>
    <s v="Private"/>
    <s v="No"/>
    <s v="Private"/>
    <s v="Consents Approved"/>
    <s v="various"/>
    <s v="various"/>
    <n v="8012"/>
    <m/>
    <n v="144"/>
    <n v="268.8"/>
    <n v="246.4"/>
    <n v="1539.6"/>
    <n v="4133.2"/>
    <n v="1680"/>
    <s v="See notes"/>
    <s v="Constant"/>
    <s v="2012/13"/>
    <m/>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s v="Yes"/>
    <n v="144"/>
    <n v="268.8"/>
    <n v="246.4"/>
    <n v="1539.6"/>
    <n v="4133.2"/>
    <n v="1680"/>
    <n v="2198.8000000000002"/>
    <n v="5813.2"/>
    <n v="7868"/>
  </r>
  <r>
    <x v="1"/>
    <s v="Electricity generation"/>
    <s v="Wind Offshore"/>
    <m/>
    <m/>
    <s v="Schemes in construction"/>
    <m/>
    <s v="Offshore"/>
    <s v="Private"/>
    <s v="No"/>
    <s v="Private"/>
    <s v="In Construction"/>
    <s v="various"/>
    <s v="various"/>
    <n v="3541"/>
    <m/>
    <n v="1055.75"/>
    <n v="1378.25"/>
    <n v="942.75"/>
    <n v="164.25"/>
    <m/>
    <m/>
    <s v="See notes"/>
    <s v="Constant"/>
    <s v="2012/13"/>
    <m/>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s v="Yes"/>
    <n v="1055.75"/>
    <n v="1378.25"/>
    <n v="942.75"/>
    <n v="164.25"/>
    <n v="0"/>
    <n v="0"/>
    <n v="3541"/>
    <n v="0"/>
    <n v="2485.25"/>
  </r>
  <r>
    <x v="1"/>
    <s v="Electricity generation"/>
    <s v="Wind Offshore"/>
    <m/>
    <m/>
    <s v="Aberdeen Bay"/>
    <m/>
    <s v="Offshore"/>
    <s v="Private"/>
    <s v="No"/>
    <s v="Private"/>
    <s v="Consents Approved"/>
    <n v="2013"/>
    <n v="2016"/>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ffshore"/>
    <m/>
    <m/>
    <s v="Argyll Array"/>
    <m/>
    <s v="Offshore"/>
    <s v="Private"/>
    <s v="No"/>
    <s v="Private"/>
    <s v="Scoping"/>
    <n v="2021"/>
    <n v="2024"/>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ffshore"/>
    <m/>
    <m/>
    <s v="Beatrice Wind Farm"/>
    <m/>
    <s v="Offshore"/>
    <s v="Private"/>
    <s v="No"/>
    <s v="Private"/>
    <s v="Consents Approved"/>
    <n v="2015"/>
    <n v="2018"/>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ffshore"/>
    <m/>
    <m/>
    <s v="Burbo Bank Extension"/>
    <s v="Burbo Bank Extension Offshore Substation"/>
    <s v="Offshore"/>
    <s v="Private"/>
    <s v="No"/>
    <s v="Private"/>
    <s v="Planning &amp; Consents"/>
    <n v="2015"/>
    <n v="2018"/>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ffshore"/>
    <m/>
    <m/>
    <s v="Celtic Array Remaining"/>
    <m/>
    <s v="Offshore"/>
    <s v="Private"/>
    <s v="No"/>
    <s v="Private"/>
    <s v="Scoping"/>
    <n v="2022"/>
    <n v="2025"/>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ffshore"/>
    <m/>
    <m/>
    <s v="Celtic Array Rhiannon Remaining"/>
    <m/>
    <s v="Offshore"/>
    <s v="Private"/>
    <s v="No"/>
    <s v="Private"/>
    <s v="Scoping"/>
    <n v="2022"/>
    <n v="2025"/>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ffshore"/>
    <m/>
    <m/>
    <s v="Celtic Array Rhiannon Stage 1"/>
    <m/>
    <s v="Offshore"/>
    <s v="Private"/>
    <s v="No"/>
    <s v="Private"/>
    <s v="Scoping"/>
    <n v="2017"/>
    <n v="2020"/>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ffshore"/>
    <m/>
    <m/>
    <s v="Celtic Array Rhiannon Stage 2"/>
    <m/>
    <s v="Offshore"/>
    <s v="Private"/>
    <s v="No"/>
    <s v="Private"/>
    <s v="Scoping"/>
    <n v="2022"/>
    <n v="2025"/>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ffshore"/>
    <m/>
    <m/>
    <s v="Dogger Bank Creyke Beck"/>
    <m/>
    <s v="Offshore"/>
    <s v="Private"/>
    <s v="No"/>
    <s v="Private"/>
    <s v="Scoping"/>
    <n v="2018"/>
    <n v="2021"/>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ffshore"/>
    <m/>
    <m/>
    <s v="Dogger Bank Teeside A&amp;B"/>
    <m/>
    <s v="Offshore"/>
    <s v="Private"/>
    <s v="No"/>
    <s v="Private"/>
    <s v="Scoping"/>
    <n v="2019"/>
    <n v="2022"/>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ffshore"/>
    <m/>
    <m/>
    <s v="Dogger Bank Teeside C&amp;D"/>
    <m/>
    <s v="Offshore"/>
    <s v="Private"/>
    <s v="No"/>
    <s v="Private"/>
    <s v="Scoping"/>
    <n v="2020"/>
    <n v="2023"/>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ffshore"/>
    <m/>
    <m/>
    <s v="Dogger Bank Tranche D"/>
    <m/>
    <s v="Offshore"/>
    <s v="Private"/>
    <s v="No"/>
    <s v="Private"/>
    <s v="Scoping"/>
    <n v="2022"/>
    <n v="2025"/>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ffshore"/>
    <m/>
    <m/>
    <s v="Dudgeon Offshore Wind Farm"/>
    <s v="Little Dunham 400kV"/>
    <s v="Offshore"/>
    <s v="Private"/>
    <s v="No"/>
    <s v="Private"/>
    <s v="Consents Approved"/>
    <n v="2015"/>
    <n v="2018"/>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ffshore"/>
    <m/>
    <m/>
    <s v="East Anglia 1"/>
    <m/>
    <s v="Offshore"/>
    <s v="Private"/>
    <s v="No"/>
    <s v="Private"/>
    <s v="Scoping"/>
    <n v="2017"/>
    <n v="2020"/>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ffshore"/>
    <m/>
    <m/>
    <s v="East Anglia 2"/>
    <m/>
    <s v="Offshore"/>
    <s v="Private"/>
    <s v="No"/>
    <s v="Private"/>
    <s v="Scoping"/>
    <n v="2021"/>
    <n v="2024"/>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ffshore"/>
    <m/>
    <m/>
    <s v="East Anglia 3"/>
    <m/>
    <s v="Offshore"/>
    <s v="Private"/>
    <s v="No"/>
    <s v="Private"/>
    <s v="Scoping"/>
    <n v="2018"/>
    <n v="2021"/>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ffshore"/>
    <m/>
    <m/>
    <s v="East Anglia 4"/>
    <m/>
    <s v="Offshore"/>
    <s v="Private"/>
    <s v="No"/>
    <s v="Private"/>
    <s v="Scoping"/>
    <n v="2019"/>
    <n v="2022"/>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ffshore"/>
    <m/>
    <m/>
    <s v="East Anglia 5"/>
    <m/>
    <s v="Offshore"/>
    <s v="Private"/>
    <s v="No"/>
    <s v="Private"/>
    <s v="Scoping"/>
    <n v="2022"/>
    <n v="2025"/>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ffshore"/>
    <m/>
    <m/>
    <s v="East Anglia 6"/>
    <m/>
    <s v="Offshore"/>
    <s v="Private"/>
    <s v="No"/>
    <s v="Private"/>
    <s v="Scoping"/>
    <n v="2023"/>
    <n v="2026"/>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ffshore"/>
    <m/>
    <m/>
    <s v="First Flight Wind"/>
    <m/>
    <s v="Offshore"/>
    <s v="Private"/>
    <s v="No"/>
    <s v="Private"/>
    <s v="Scoping"/>
    <n v="2017"/>
    <n v="2020"/>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ffshore"/>
    <m/>
    <m/>
    <s v="Firth of Forth Offshore Wind Farm 2"/>
    <m/>
    <s v="Offshore"/>
    <s v="Private"/>
    <s v="No"/>
    <s v="Private"/>
    <s v="Scoping"/>
    <n v="2019"/>
    <n v="2022"/>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ffshore"/>
    <m/>
    <m/>
    <s v="Firth of Forth Offshore Wind Farm 3"/>
    <m/>
    <s v="Offshore"/>
    <s v="Private"/>
    <s v="No"/>
    <s v="Private"/>
    <s v="Scoping"/>
    <n v="2021"/>
    <n v="2024"/>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ffshore"/>
    <m/>
    <m/>
    <s v="Firth of Forth Offshore Wind Farm Alpha and Bravo"/>
    <m/>
    <s v="Offshore"/>
    <s v="Private"/>
    <s v="No"/>
    <s v="Private"/>
    <s v="Scoping"/>
    <n v="2016"/>
    <n v="2019"/>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ffshore"/>
    <m/>
    <m/>
    <s v="Galloper Wind Farm "/>
    <s v="Leiston 132kV substation"/>
    <s v="Offshore"/>
    <s v="Private"/>
    <s v="No"/>
    <s v="Private"/>
    <s v="Consents Approved"/>
    <n v="2015"/>
    <n v="2018"/>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ffshore"/>
    <m/>
    <m/>
    <s v="Gwynt Y Mor Offshore Wind Farm "/>
    <s v="Gwynt y Mor 132/33kV Offshore Substation"/>
    <s v="Offshore"/>
    <s v="Private"/>
    <s v="No"/>
    <s v="Private"/>
    <s v="In Construction"/>
    <n v="2012"/>
    <n v="2015"/>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ffshore"/>
    <m/>
    <m/>
    <s v="Hornsea - Breesea"/>
    <m/>
    <s v="Offshore"/>
    <s v="Private"/>
    <s v="No"/>
    <s v="Private"/>
    <s v="Scoping"/>
    <n v="2018"/>
    <n v="2021"/>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ffshore"/>
    <m/>
    <m/>
    <s v="Hornsea - Heron Wind"/>
    <m/>
    <s v="Offshore"/>
    <s v="Private"/>
    <s v="No"/>
    <s v="Private"/>
    <s v="Scoping"/>
    <n v="2018"/>
    <n v="2021"/>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ffshore"/>
    <m/>
    <m/>
    <s v="Hornsea - Njord"/>
    <m/>
    <s v="Offshore"/>
    <s v="Private"/>
    <s v="No"/>
    <s v="Private"/>
    <s v="Scoping"/>
    <n v="2018"/>
    <n v="2021"/>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ffshore"/>
    <m/>
    <m/>
    <s v="Hornsea - Optimus Wind"/>
    <m/>
    <s v="Offshore"/>
    <s v="Private"/>
    <s v="No"/>
    <s v="Private"/>
    <s v="Scoping"/>
    <n v="2018"/>
    <n v="2021"/>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ffshore"/>
    <m/>
    <m/>
    <s v="Hornsea - Remaining"/>
    <m/>
    <s v="Offshore"/>
    <s v="Private"/>
    <s v="No"/>
    <s v="Private"/>
    <s v="Scoping"/>
    <n v="2018"/>
    <n v="2021"/>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ffshore"/>
    <m/>
    <m/>
    <s v="Humber Gateway Offshore Wind Farm"/>
    <m/>
    <s v="Offshore"/>
    <s v="Private"/>
    <s v="No"/>
    <s v="Private"/>
    <s v="In Construction"/>
    <n v="2013"/>
    <n v="2016"/>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ffshore"/>
    <m/>
    <m/>
    <s v="Inch Cape Offshore Wind Farm"/>
    <m/>
    <s v="Offshore"/>
    <s v="Private"/>
    <s v="No"/>
    <s v="Private"/>
    <s v="Planning &amp; Consents"/>
    <n v="2017"/>
    <n v="2020"/>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ffshore"/>
    <m/>
    <m/>
    <s v="Islay"/>
    <m/>
    <s v="Offshore"/>
    <s v="Private"/>
    <s v="No"/>
    <s v="Private"/>
    <s v="Scoping"/>
    <n v="2022"/>
    <n v="2025"/>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ffshore"/>
    <m/>
    <m/>
    <s v="Kentish Flats extension"/>
    <m/>
    <s v="Offshore"/>
    <s v="Private"/>
    <s v="No"/>
    <s v="Private"/>
    <s v="Consents Approved"/>
    <n v="2013"/>
    <n v="2016"/>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ffshore"/>
    <m/>
    <m/>
    <s v="London Array II"/>
    <s v="London Array 33/150kV Offshore Substation"/>
    <s v="Offshore"/>
    <s v="Private"/>
    <s v="No"/>
    <s v="Private"/>
    <s v="Planning &amp; Consents"/>
    <n v="2014"/>
    <n v="2017"/>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ffshore"/>
    <m/>
    <m/>
    <s v="Moray Firth - Western Development Area"/>
    <m/>
    <s v="Offshore"/>
    <s v="Private"/>
    <s v="No"/>
    <s v="Private"/>
    <s v="Scoping"/>
    <n v="2019"/>
    <n v="2022"/>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ffshore"/>
    <m/>
    <m/>
    <s v="Moray Firth Offshore Wind Farm MacColl"/>
    <m/>
    <s v="Offshore"/>
    <s v="Private"/>
    <s v="No"/>
    <s v="Private"/>
    <s v="Planning &amp; Consents"/>
    <n v="2018"/>
    <n v="2021"/>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ffshore"/>
    <m/>
    <m/>
    <s v="Moray Firth Offshore Wind Farm Stevenson"/>
    <m/>
    <s v="Offshore"/>
    <s v="Private"/>
    <s v="No"/>
    <s v="Private"/>
    <s v="Planning &amp; Consents"/>
    <n v="2018"/>
    <n v="2021"/>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ffshore"/>
    <m/>
    <m/>
    <s v="Moray Firth Offshore Wind Farm Telford"/>
    <m/>
    <s v="Offshore"/>
    <s v="Private"/>
    <s v="No"/>
    <s v="Private"/>
    <s v="Planning &amp; Consents"/>
    <n v="2016"/>
    <n v="2019"/>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ffshore"/>
    <m/>
    <m/>
    <s v="Navitus Bay Offshore Wind Project"/>
    <m/>
    <s v="Offshore"/>
    <s v="Private"/>
    <s v="No"/>
    <s v="Private"/>
    <s v="Scoping"/>
    <n v="2018"/>
    <n v="2021"/>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ffshore"/>
    <m/>
    <m/>
    <s v="Neart Na Gaoithe Offshore Wind Farm"/>
    <m/>
    <s v="Offshore"/>
    <s v="Private"/>
    <s v="No"/>
    <s v="Private"/>
    <s v="Planning &amp; Consents"/>
    <n v="2015"/>
    <n v="2018"/>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ffshore"/>
    <m/>
    <m/>
    <s v="Race Bank Wind Farm"/>
    <s v="Race Bank 132/33lV Substation"/>
    <s v="Offshore"/>
    <s v="Private"/>
    <s v="No"/>
    <s v="Private"/>
    <s v="Consents Approved"/>
    <n v="2015"/>
    <n v="2018"/>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ffshore"/>
    <m/>
    <m/>
    <s v="Rampion"/>
    <s v="Rampion"/>
    <s v="Offshore"/>
    <s v="Private"/>
    <s v="No"/>
    <s v="Private"/>
    <s v="Planning &amp; Consents"/>
    <n v="2016"/>
    <n v="2019"/>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ffshore"/>
    <m/>
    <m/>
    <s v="Triton Knoll Offshore Wind Farm"/>
    <s v="Triton Knoll Offshore Platform 1"/>
    <s v="Offshore"/>
    <s v="Private"/>
    <s v="No"/>
    <s v="Private"/>
    <s v="Consents Approved"/>
    <n v="2019"/>
    <n v="2022"/>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ffshore"/>
    <m/>
    <m/>
    <s v="Walney Offshore Wind Farm Extension "/>
    <s v="N/A"/>
    <s v="Offshore"/>
    <s v="Private"/>
    <s v="No"/>
    <s v="Private"/>
    <s v="Planning &amp; Consents"/>
    <n v="2016"/>
    <n v="2019"/>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ffshore"/>
    <m/>
    <m/>
    <s v="West of Duddon Sands Offshore Wind Farm"/>
    <s v="Heysham 400kV Substation"/>
    <s v="Offshore"/>
    <s v="Private"/>
    <s v="No"/>
    <s v="Private"/>
    <s v="In Construction"/>
    <n v="2012"/>
    <n v="2015"/>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ffshore"/>
    <m/>
    <m/>
    <s v="Westermost Rough"/>
    <s v="Hedon"/>
    <s v="Offshore"/>
    <s v="Private"/>
    <s v="No"/>
    <s v="Private"/>
    <s v="Consents Approved"/>
    <n v="2014"/>
    <n v="2015"/>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nshore"/>
    <m/>
    <m/>
    <s v="Schemes in planning"/>
    <m/>
    <s v="UK"/>
    <s v="Private"/>
    <s v="No"/>
    <s v="Private"/>
    <s v="Planning &amp; Consents"/>
    <s v="various"/>
    <s v="various"/>
    <n v="4549.46"/>
    <m/>
    <m/>
    <n v="35.18"/>
    <n v="283.64999999999998"/>
    <n v="197.51"/>
    <n v="3905.99"/>
    <n v="127.13"/>
    <s v="See notes"/>
    <s v="Constant"/>
    <s v="2012/13"/>
    <m/>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s v="Yes"/>
    <n v="0"/>
    <n v="35.18"/>
    <n v="283.64999999999998"/>
    <n v="197.51"/>
    <n v="3905.99"/>
    <n v="127.13"/>
    <n v="516.33999999999992"/>
    <n v="4033.12"/>
    <n v="4549.46"/>
  </r>
  <r>
    <x v="1"/>
    <s v="Electricity generation"/>
    <s v="Wind Onshore"/>
    <m/>
    <m/>
    <s v="Consented schemes"/>
    <m/>
    <s v="UK"/>
    <s v="Private"/>
    <s v="No"/>
    <s v="Private"/>
    <s v="Consents Approved"/>
    <s v="various"/>
    <s v="various"/>
    <n v="6145.92"/>
    <m/>
    <m/>
    <m/>
    <n v="374.18"/>
    <n v="540.15"/>
    <n v="5129.59"/>
    <n v="102"/>
    <s v="See notes"/>
    <s v="Constant"/>
    <s v="2012/13"/>
    <m/>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s v="Yes"/>
    <n v="0"/>
    <n v="0"/>
    <n v="374.18"/>
    <n v="540.15"/>
    <n v="5129.59"/>
    <n v="102"/>
    <n v="914.32999999999993"/>
    <n v="5231.59"/>
    <n v="6145.92"/>
  </r>
  <r>
    <x v="1"/>
    <s v="Electricity generation"/>
    <s v="Wind Onshore"/>
    <m/>
    <m/>
    <s v="Schemes in construction"/>
    <m/>
    <s v="UK"/>
    <s v="Private"/>
    <s v="No"/>
    <s v="Private"/>
    <s v="In Construction"/>
    <s v="various"/>
    <s v="various"/>
    <n v="2048"/>
    <m/>
    <n v="126.63"/>
    <n v="128.69999999999999"/>
    <n v="997.8"/>
    <n v="689.43"/>
    <n v="105.44"/>
    <m/>
    <s v="See notes"/>
    <s v="Constant"/>
    <s v="2012/13"/>
    <m/>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s v="Yes"/>
    <n v="126.63"/>
    <n v="128.69999999999999"/>
    <n v="997.8"/>
    <n v="689.43"/>
    <n v="105.44"/>
    <n v="0"/>
    <n v="1942.56"/>
    <n v="105.44"/>
    <n v="1921.37"/>
  </r>
  <r>
    <x v="1"/>
    <s v="Electricity generation"/>
    <s v="Wind Onshore"/>
    <m/>
    <m/>
    <s v="Afton Wind Farm"/>
    <m/>
    <s v="Scotland"/>
    <s v="Private"/>
    <s v="No"/>
    <s v="Private"/>
    <s v="Planning &amp; Consents"/>
    <n v="2014"/>
    <n v="2015"/>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nshore"/>
    <m/>
    <m/>
    <s v="Aikengall II, Wester Dod Community Wind Farm"/>
    <m/>
    <s v="Scotland"/>
    <s v="Private"/>
    <s v="No"/>
    <s v="Private"/>
    <s v="Consents Approved"/>
    <n v="2013"/>
    <n v="2015"/>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nshore"/>
    <m/>
    <m/>
    <s v="Allt Duine Wind Farm"/>
    <m/>
    <s v="Scotland"/>
    <s v="Private"/>
    <s v="No"/>
    <s v="Private"/>
    <s v="Planning &amp; Consents"/>
    <n v="2016"/>
    <n v="2018"/>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nshore"/>
    <m/>
    <m/>
    <s v="Beinneun"/>
    <m/>
    <s v="Scotland"/>
    <s v="Private"/>
    <s v="No"/>
    <s v="Private"/>
    <s v="Consents Approved"/>
    <n v="2019"/>
    <n v="2021"/>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nshore"/>
    <m/>
    <m/>
    <s v="Berry Burn"/>
    <m/>
    <s v="Scotland"/>
    <s v="Private"/>
    <s v="No"/>
    <s v="Private"/>
    <s v="In Construction"/>
    <n v="2013"/>
    <n v="2015"/>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nshore"/>
    <m/>
    <m/>
    <s v="Bhlaraidh (previously Balmacaan)"/>
    <m/>
    <s v="Scotland"/>
    <s v="Private"/>
    <s v="No"/>
    <s v="Private"/>
    <s v="Planning &amp; Consents"/>
    <n v="2019"/>
    <n v="2021"/>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nshore"/>
    <m/>
    <m/>
    <s v="Black Law Extension"/>
    <m/>
    <s v="Scotland"/>
    <s v="Private"/>
    <s v="No"/>
    <s v="Private"/>
    <s v="Consents Approved"/>
    <n v="2013"/>
    <n v="2015"/>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nshore"/>
    <m/>
    <m/>
    <s v="Blackcraig"/>
    <m/>
    <s v="Scotland"/>
    <s v="Private"/>
    <s v="No"/>
    <s v="Private"/>
    <s v="Consents Approved"/>
    <n v="2013"/>
    <n v="2015"/>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nshore"/>
    <m/>
    <m/>
    <s v="Braemore"/>
    <m/>
    <s v="Scotland"/>
    <s v="Private"/>
    <s v="No"/>
    <s v="Private"/>
    <s v="Planning &amp; Consents"/>
    <n v="2017"/>
    <n v="2019"/>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nshore"/>
    <m/>
    <m/>
    <s v="Brechfa Forest West"/>
    <m/>
    <s v="Wales"/>
    <s v="Private"/>
    <s v="No"/>
    <s v="Private"/>
    <s v="Consents Approved"/>
    <n v="2015"/>
    <n v="2017"/>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nshore"/>
    <m/>
    <m/>
    <s v="Carnedd Wen Wind Farm"/>
    <m/>
    <s v="Wales"/>
    <s v="Private"/>
    <s v="No"/>
    <s v="Private"/>
    <s v="Planning &amp; Consents"/>
    <n v="2015"/>
    <n v="2017"/>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nshore"/>
    <m/>
    <m/>
    <s v="Clocaenog"/>
    <m/>
    <s v="Wales"/>
    <s v="Private"/>
    <s v="No"/>
    <s v="Private"/>
    <s v="Planning &amp; Consents"/>
    <n v="2017"/>
    <n v="2019"/>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nshore"/>
    <m/>
    <m/>
    <s v="Clyde Wind Farm Extension (Clyde 2)"/>
    <m/>
    <s v="Scotland"/>
    <s v="Private"/>
    <s v="No"/>
    <s v="Private"/>
    <s v="Planning &amp; Consents"/>
    <n v="2014"/>
    <n v="2015"/>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nshore"/>
    <m/>
    <m/>
    <s v="Corriemoillie (Resubmission)"/>
    <m/>
    <s v="Scotland"/>
    <s v="Private"/>
    <s v="No"/>
    <s v="Private"/>
    <s v="Consents Approved"/>
    <n v="2014"/>
    <n v="2016"/>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nshore"/>
    <m/>
    <m/>
    <s v="Dalnessie Wind Farm"/>
    <m/>
    <s v="Scotland"/>
    <s v="Private"/>
    <s v="No"/>
    <s v="Private"/>
    <s v="Planning &amp; Consents"/>
    <n v="2016"/>
    <n v="2018"/>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nshore"/>
    <m/>
    <m/>
    <s v="Dersalloch"/>
    <m/>
    <s v="Scotland"/>
    <s v="Private"/>
    <s v="No"/>
    <s v="Private"/>
    <s v="Planning &amp; Consents"/>
    <n v="2014"/>
    <n v="2014"/>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nshore"/>
    <m/>
    <m/>
    <s v="Dorenell Wind Farm (Previously Site A and B Scaut Hill )"/>
    <m/>
    <s v="Scotland"/>
    <s v="Private"/>
    <s v="No"/>
    <s v="Private"/>
    <s v="Consents Approved"/>
    <n v="2016"/>
    <n v="2018"/>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nshore"/>
    <m/>
    <m/>
    <s v="Dunmaglass Wind Farm"/>
    <m/>
    <s v="Scotland"/>
    <s v="Private"/>
    <s v="No"/>
    <s v="Private"/>
    <s v="Consents Approved"/>
    <n v="2013"/>
    <n v="2015"/>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nshore"/>
    <m/>
    <m/>
    <s v="Earlshaugh Wind Farm"/>
    <m/>
    <s v="Scotland"/>
    <s v="Private"/>
    <s v="No"/>
    <s v="Private"/>
    <s v="Planning &amp; Consents"/>
    <n v="2015"/>
    <n v="2017"/>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nshore"/>
    <m/>
    <m/>
    <s v="Esgair Cwnowen"/>
    <m/>
    <s v="Wales"/>
    <s v="Private"/>
    <s v="No"/>
    <s v="Private"/>
    <s v="Planning &amp; Consents"/>
    <n v="2017"/>
    <n v="2019"/>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nshore"/>
    <m/>
    <m/>
    <s v="Fauch Hill Wind Farm"/>
    <m/>
    <s v="Scotland"/>
    <s v="Private"/>
    <s v="No"/>
    <s v="Private"/>
    <s v="Planning &amp; Consents"/>
    <n v="2017"/>
    <n v="2019"/>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nshore"/>
    <m/>
    <m/>
    <s v="Fferm Wynt Llaithddu Cyf"/>
    <m/>
    <s v="Wales"/>
    <s v="Private"/>
    <s v="No"/>
    <s v="Private"/>
    <s v="Planning &amp; Consents"/>
    <n v="2017"/>
    <n v="2019"/>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nshore"/>
    <m/>
    <m/>
    <s v="Frodsham Marsh"/>
    <m/>
    <s v="North West"/>
    <s v="Private"/>
    <s v="No"/>
    <s v="Private"/>
    <s v="Consents Approved"/>
    <n v="2015"/>
    <n v="2017"/>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nshore"/>
    <m/>
    <m/>
    <s v="Galawhistle"/>
    <m/>
    <s v="Scotland"/>
    <s v="Private"/>
    <s v="No"/>
    <s v="Private"/>
    <s v="Consents Approved"/>
    <n v="2015"/>
    <n v="2017"/>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nshore"/>
    <m/>
    <m/>
    <s v="Girthgate Wind Farm"/>
    <m/>
    <s v="Scotland"/>
    <s v="Private"/>
    <s v="No"/>
    <s v="Private"/>
    <s v="Planning &amp; Consents"/>
    <n v="2017"/>
    <n v="2019"/>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nshore"/>
    <m/>
    <m/>
    <s v="Glencassley Wind Farm"/>
    <m/>
    <s v="Scotland"/>
    <s v="Private"/>
    <s v="No"/>
    <s v="Private"/>
    <s v="Planning &amp; Consents"/>
    <n v="2018"/>
    <n v="2020"/>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nshore"/>
    <m/>
    <m/>
    <s v="Harestanes"/>
    <m/>
    <s v="Scotland"/>
    <s v="Private"/>
    <s v="No"/>
    <s v="Private"/>
    <s v="In Construction"/>
    <n v="2012"/>
    <n v="2014"/>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nshore"/>
    <m/>
    <m/>
    <s v="Heckington Fens"/>
    <m/>
    <s v="East Midlands"/>
    <s v="Private"/>
    <s v="No"/>
    <s v="Private"/>
    <s v="In Construction"/>
    <n v="2013"/>
    <n v="2015"/>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nshore"/>
    <m/>
    <m/>
    <s v="Keadby Wind Farm"/>
    <m/>
    <s v="Yorkshire &amp; the Humber"/>
    <s v="Private"/>
    <s v="No"/>
    <s v="Private"/>
    <s v="In Construction"/>
    <n v="2013"/>
    <n v="2015"/>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nshore"/>
    <m/>
    <m/>
    <s v="Kilgallioch wind farm"/>
    <m/>
    <s v="Scotland"/>
    <s v="Private"/>
    <s v="No"/>
    <s v="Private"/>
    <s v="Consents Approved"/>
    <n v="2015"/>
    <n v="2017"/>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nshore"/>
    <m/>
    <m/>
    <s v="Kype Muir Wind Farm"/>
    <m/>
    <s v="Scotland"/>
    <s v="Private"/>
    <s v="No"/>
    <s v="Private"/>
    <s v="Planning &amp; Consents"/>
    <n v="2017"/>
    <n v="2019"/>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nshore"/>
    <m/>
    <m/>
    <s v="Lewis Wind Farm (was Muaitheabhal Windfarm - Modified)"/>
    <m/>
    <s v="Scotland"/>
    <s v="Private"/>
    <s v="No"/>
    <s v="Private"/>
    <s v="Consents Approved"/>
    <n v="2015"/>
    <n v="2017"/>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nshore"/>
    <m/>
    <m/>
    <s v="Limekiln Wind Farm"/>
    <m/>
    <s v="Scotland"/>
    <s v="Private"/>
    <s v="No"/>
    <s v="Private"/>
    <s v="Planning &amp; Consents"/>
    <n v="2018"/>
    <n v="2020"/>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nshore"/>
    <m/>
    <m/>
    <s v="Llanbadarn Fynydd Wind Farm"/>
    <m/>
    <s v="Wales"/>
    <s v="Private"/>
    <s v="No"/>
    <s v="Private"/>
    <s v="Planning &amp; Consents"/>
    <n v="2017"/>
    <n v="2019"/>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nshore"/>
    <m/>
    <m/>
    <s v="Llanbrynmair Wind Farm"/>
    <m/>
    <s v="Wales"/>
    <s v="Private"/>
    <s v="No"/>
    <s v="Private"/>
    <s v="Planning &amp; Consents"/>
    <n v="2017"/>
    <n v="2019"/>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nshore"/>
    <m/>
    <m/>
    <s v="Llandinam Windfarm Repowering and Extension"/>
    <m/>
    <s v="Wales"/>
    <s v="Private"/>
    <s v="No"/>
    <s v="Private"/>
    <s v="Planning &amp; Consents"/>
    <n v="2017"/>
    <n v="2019"/>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nshore"/>
    <m/>
    <m/>
    <s v="Lochluichart"/>
    <m/>
    <s v="Scotland"/>
    <s v="Private"/>
    <s v="No"/>
    <s v="Private"/>
    <s v="In Construction"/>
    <n v="2011"/>
    <n v="2013"/>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nshore"/>
    <m/>
    <m/>
    <s v="Longburn Wind Farm"/>
    <m/>
    <s v="Scotland"/>
    <s v="Private"/>
    <s v="No"/>
    <s v="Private"/>
    <s v="Planning &amp; Consents"/>
    <n v="2017"/>
    <n v="2019"/>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nshore"/>
    <m/>
    <m/>
    <s v="Mid Hill (including extension)"/>
    <m/>
    <s v="Scotland"/>
    <s v="Private"/>
    <s v="No"/>
    <s v="Private"/>
    <s v="In Construction"/>
    <n v="2011"/>
    <n v="2013"/>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nshore"/>
    <m/>
    <m/>
    <s v="Middle Muir Wind Farm"/>
    <m/>
    <s v="Scotland"/>
    <s v="Private"/>
    <s v="No"/>
    <s v="Private"/>
    <s v="Planning &amp; Consents"/>
    <n v="2017"/>
    <n v="2019"/>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nshore"/>
    <m/>
    <m/>
    <s v="Moy Wind Farm (2nd Application)"/>
    <m/>
    <s v="Scotland"/>
    <s v="Private"/>
    <s v="No"/>
    <s v="Private"/>
    <s v="Planning &amp; Consents"/>
    <n v="2017"/>
    <n v="2019"/>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nshore"/>
    <m/>
    <m/>
    <s v="Nathro Hill Wind Farm"/>
    <m/>
    <s v="Scotland"/>
    <s v="Private"/>
    <s v="No"/>
    <s v="Private"/>
    <s v="Planning &amp; Consents"/>
    <n v="2017"/>
    <n v="2019"/>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nshore"/>
    <m/>
    <m/>
    <s v="Newfield"/>
    <m/>
    <s v="Scotland"/>
    <s v="Private"/>
    <s v="No"/>
    <s v="Private"/>
    <s v="Planning &amp; Consents"/>
    <n v="2014"/>
    <n v="2016"/>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nshore"/>
    <m/>
    <m/>
    <s v="Pen Y Cymoedd"/>
    <m/>
    <s v="Wales"/>
    <s v="Private"/>
    <s v="No"/>
    <s v="Private"/>
    <s v="Consents Approved"/>
    <n v="2014"/>
    <n v="2016"/>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nshore"/>
    <m/>
    <m/>
    <s v="Projects &lt;50MW awaiting planning consent"/>
    <m/>
    <s v="UK"/>
    <s v="Private"/>
    <s v="No"/>
    <s v="Private"/>
    <s v="Planning &amp; Consents"/>
    <n v="2017"/>
    <n v="2019"/>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nshore"/>
    <m/>
    <m/>
    <s v="Projects &lt;50MW under construction"/>
    <m/>
    <s v="UK"/>
    <s v="Private"/>
    <s v="No"/>
    <s v="Private"/>
    <s v="In Construction"/>
    <n v="2013"/>
    <n v="2015"/>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nshore"/>
    <m/>
    <m/>
    <s v="Projects &lt;50MW with planning consent"/>
    <m/>
    <s v="UK"/>
    <s v="Private"/>
    <s v="No"/>
    <s v="Private"/>
    <s v="Consents Approved"/>
    <n v="2015"/>
    <n v="2017"/>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nshore"/>
    <m/>
    <m/>
    <s v="Ray Fell Wind Farm"/>
    <m/>
    <s v="North East"/>
    <s v="Private"/>
    <s v="No"/>
    <s v="Private"/>
    <s v="Consents Approved"/>
    <n v="2015"/>
    <n v="2017"/>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nshore"/>
    <m/>
    <m/>
    <s v="Rowantree Wind Farm"/>
    <m/>
    <s v="Scotland"/>
    <s v="Private"/>
    <s v="No"/>
    <s v="Private"/>
    <s v="Planning &amp; Consents"/>
    <n v="2014"/>
    <n v="2016"/>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nshore"/>
    <m/>
    <m/>
    <s v="Sallachy Wind Farm"/>
    <m/>
    <s v="Scotland"/>
    <s v="Private"/>
    <s v="No"/>
    <s v="Private"/>
    <s v="Planning &amp; Consents"/>
    <n v="2016"/>
    <n v="2018"/>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nshore"/>
    <m/>
    <m/>
    <s v="Sandy Knowe Wind Farm"/>
    <m/>
    <s v="Scotland"/>
    <s v="Private"/>
    <s v="No"/>
    <s v="Private"/>
    <s v="Planning &amp; Consents"/>
    <n v="2017"/>
    <n v="2019"/>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nshore"/>
    <m/>
    <m/>
    <s v="Stornoway Wind Farm project (was Lewis Wind Farm - Resubmission)"/>
    <m/>
    <s v="Scotland"/>
    <s v="Private"/>
    <s v="No"/>
    <s v="Private"/>
    <s v="Consents Approved"/>
    <n v="2014"/>
    <n v="2016"/>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nshore"/>
    <m/>
    <m/>
    <s v="Stranoch Wind Farm"/>
    <m/>
    <s v="Scotland"/>
    <s v="Private"/>
    <s v="No"/>
    <s v="Private"/>
    <s v="Planning &amp; Consents"/>
    <n v="2017"/>
    <n v="2019"/>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nshore"/>
    <m/>
    <m/>
    <s v="Strathy North"/>
    <m/>
    <s v="Scotland"/>
    <s v="Private"/>
    <s v="No"/>
    <s v="Private"/>
    <s v="Consents Approved"/>
    <n v="2013"/>
    <n v="2015"/>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nshore"/>
    <m/>
    <m/>
    <s v="Strathy South"/>
    <m/>
    <s v="Scotland"/>
    <s v="Private"/>
    <s v="No"/>
    <s v="Private"/>
    <s v="Planning &amp; Consents"/>
    <n v="2014"/>
    <n v="2015"/>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nshore"/>
    <m/>
    <m/>
    <s v="Stronelairg Wind Farm"/>
    <m/>
    <s v="Scotland"/>
    <s v="Private"/>
    <s v="No"/>
    <s v="Private"/>
    <s v="Consents Approved"/>
    <n v="2016"/>
    <n v="2018"/>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nshore"/>
    <m/>
    <m/>
    <s v="Viking Wind Farm"/>
    <m/>
    <s v="Scotland"/>
    <s v="Private"/>
    <s v="No"/>
    <s v="Private"/>
    <s v="Consents Approved"/>
    <n v="2016"/>
    <n v="2018"/>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generation"/>
    <s v="Wind Onshore"/>
    <m/>
    <m/>
    <s v="Windy Standard Wind Farm (Extension)"/>
    <m/>
    <s v="Scotland"/>
    <s v="Private"/>
    <s v="No"/>
    <s v="Private"/>
    <s v="Consents Approved"/>
    <n v="2013"/>
    <n v="2015"/>
    <m/>
    <m/>
    <m/>
    <m/>
    <m/>
    <m/>
    <m/>
    <m/>
    <s v="See notes"/>
    <m/>
    <m/>
    <s v="http://www2.nationalgrid.com/UK/Services/Electricity-connections/Industry-products/TEC-Register/"/>
    <s v="Data for electricity generation has been drawn from DECC, National Grid TEC register (14 October 2013), Renewable Energy Planning Database (REPD), Developer websites and HM Treasury estimates except Hinkley Point C. "/>
    <s v="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m/>
    <n v="0"/>
    <n v="0"/>
    <n v="0"/>
    <n v="0"/>
    <n v="0"/>
    <n v="0"/>
    <n v="0"/>
    <n v="0"/>
    <n v="0"/>
  </r>
  <r>
    <x v="1"/>
    <s v="Electricity transmission"/>
    <s v="Electricity transmission"/>
    <m/>
    <m/>
    <s v="East Anglia"/>
    <s v="Upgrades principally in relation to offshore wind connecting into East Coast and Sizewell nuclear power station"/>
    <s v="East of England"/>
    <s v="Private"/>
    <s v="Yes"/>
    <s v="Private"/>
    <s v="In Construction"/>
    <n v="2011"/>
    <n v="2018"/>
    <n v="502.29700000000003"/>
    <m/>
    <n v="30.9"/>
    <n v="23.521000000000001"/>
    <n v="5.6059999999999999"/>
    <n v="158.43600000000001"/>
    <n v="161.089"/>
    <m/>
    <s v="Estimated"/>
    <s v="Constant"/>
    <s v="2009/10"/>
    <s v="http://www2.nationalgrid.com/"/>
    <s v="NG Update"/>
    <s v="Works to upgrade transmission system in East Anglia. Any subsequent investment proposal would require regulatory approval. Economically regulated investment is also not generally confirmed beyond currently determined regulatory periods._x000a_"/>
    <m/>
    <n v="33.008941256903569"/>
    <n v="25.126320624712907"/>
    <n v="5.9886124493916313"/>
    <n v="169.24934035530012"/>
    <n v="172.08340900107893"/>
    <n v="0"/>
    <n v="233.37321468630822"/>
    <n v="172.08340900107893"/>
    <n v="372.44768243048361"/>
  </r>
  <r>
    <x v="1"/>
    <s v="Electricity transmission"/>
    <s v="Electricity transmission"/>
    <m/>
    <m/>
    <s v="Humberside"/>
    <s v="Upgrades primarily in relation to offshore wind farms"/>
    <s v="Yorkshire &amp; the Humber"/>
    <s v="Private"/>
    <s v="Yes"/>
    <s v="Private"/>
    <s v="Scoping"/>
    <s v="TBC"/>
    <s v="2018 Onwards"/>
    <n v="276.57999999999993"/>
    <m/>
    <n v="0.26"/>
    <m/>
    <m/>
    <n v="5.1989999999999998"/>
    <n v="39.69"/>
    <m/>
    <s v="Estimated"/>
    <s v="Constant"/>
    <s v="2009/10"/>
    <s v="http://www2.nationalgrid.com/"/>
    <s v="NG Update"/>
    <s v="Works to upgrade transmission system capacity in Humberside. Any subsequent investment proposal would require regulatory approval. Economically regulated investment is also not generally confirmed beyond currently determined regulatory periods."/>
    <m/>
    <n v="0.27774513678947987"/>
    <n v="0"/>
    <n v="0"/>
    <n v="5.5538344852634838"/>
    <n v="42.398863381440215"/>
    <n v="0"/>
    <n v="5.8315796220529634"/>
    <n v="42.398863381440215"/>
    <n v="47.952697866703701"/>
  </r>
  <r>
    <x v="1"/>
    <s v="Electricity transmission"/>
    <s v="Electricity transmission"/>
    <m/>
    <m/>
    <s v="London"/>
    <s v="Upgrades to accommodate increased powerflows into London area."/>
    <s v="London"/>
    <s v="Private"/>
    <s v="Yes"/>
    <s v="Private"/>
    <s v="In Construction"/>
    <s v="Started"/>
    <n v="2017"/>
    <n v="157.10300000000001"/>
    <m/>
    <n v="19.524999999999999"/>
    <n v="12.634"/>
    <n v="24.579000000000001"/>
    <n v="32.273000000000003"/>
    <n v="26.472999999999999"/>
    <m/>
    <s v="Estimated"/>
    <s v="Constant"/>
    <s v="2009/10"/>
    <s v="http://www2.nationalgrid.com/"/>
    <s v="NG Update"/>
    <s v="Works to upgrade transmission system into London. Any subsequent investment proposal would require regulatory approval. Economically regulated investment is also not generally confirmed beyond currently determined regulatory periods."/>
    <m/>
    <n v="20.857591522363823"/>
    <n v="13.496277146916496"/>
    <n v="26.256529681340869"/>
    <n v="34.475649229257243"/>
    <n v="28.279796177799614"/>
    <n v="0"/>
    <n v="95.086047579878425"/>
    <n v="28.279796177799614"/>
    <n v="102.50825223531422"/>
  </r>
  <r>
    <x v="1"/>
    <s v="Electricity transmission"/>
    <s v="Electricity transmission"/>
    <m/>
    <m/>
    <s v="Mid Wales"/>
    <s v="New transmission line &amp; substation works to connect onshore wind farms."/>
    <s v="Wales"/>
    <s v="Private"/>
    <s v="Yes"/>
    <s v="Private"/>
    <s v="Scoping"/>
    <s v="TBC"/>
    <n v="2019"/>
    <n v="207.279"/>
    <m/>
    <n v="3.359"/>
    <n v="7.0250000000000004"/>
    <n v="9.1880000000000006"/>
    <n v="21.657"/>
    <n v="160.18199999999999"/>
    <m/>
    <s v="Estimated"/>
    <s v="Constant"/>
    <s v="2009/10"/>
    <s v="http://www2.nationalgrid.com/"/>
    <s v="NG Update"/>
    <s v="Works to provide transmission system capacity to mid-Wales. Any subsequent investment proposal would require regulatory approval. Economically regulated investment is also not generally confirmed beyond currently determined regulatory periods."/>
    <m/>
    <n v="3.5882535172148566"/>
    <n v="7.5044599459465227"/>
    <n v="9.8150858339297731"/>
    <n v="23.135101644037558"/>
    <n v="171.11450577389408"/>
    <n v="0"/>
    <n v="44.042900941128707"/>
    <n v="171.11450577389408"/>
    <n v="211.56915319780791"/>
  </r>
  <r>
    <x v="1"/>
    <s v="Electricity transmission"/>
    <s v="Electricity transmission"/>
    <m/>
    <m/>
    <s v="North Wales"/>
    <s v="Upgrades in relation to Wylfa nuclear power station and offshore wind in Irish Sea."/>
    <s v="Wales"/>
    <s v="Private"/>
    <s v="Yes"/>
    <s v="Private"/>
    <s v="Scoping"/>
    <s v="TBC"/>
    <s v="2018-2020"/>
    <n v="549.42999999999995"/>
    <m/>
    <n v="20.672999999999998"/>
    <n v="22.449000000000002"/>
    <n v="31.085999999999999"/>
    <n v="44.435000000000002"/>
    <n v="262.66200000000003"/>
    <m/>
    <s v="Estimated"/>
    <s v="Constant"/>
    <s v="2009/10"/>
    <s v="http://www2.nationalgrid.com/"/>
    <s v="NG Update"/>
    <s v="Works to upgrade transmission system in North Wales. Does not include Wylfa-Pembroke HVDC costs. Any subsequent investment proposal would require regulatory approval. Economically regulated investment is also not generally confirmed beyond currently determined regulatory periods."/>
    <m/>
    <n v="22.083943126341985"/>
    <n v="23.981156060719361"/>
    <n v="33.207635854760653"/>
    <n v="47.467712127848223"/>
    <n v="280.58881968999373"/>
    <n v="0"/>
    <n v="126.74044716967023"/>
    <n v="280.58881968999373"/>
    <n v="385.24532373332198"/>
  </r>
  <r>
    <x v="1"/>
    <s v="Electricity transmission"/>
    <s v="Electricity transmission"/>
    <s v="Other Investment"/>
    <m/>
    <m/>
    <s v="Works to increase capacity of network for additional generation and demand and replace existing assets that are becoming unreliable."/>
    <s v="England and Wales"/>
    <s v="Private"/>
    <s v="Yes"/>
    <s v="Private"/>
    <s v="Active Programme"/>
    <s v="TBC"/>
    <s v="TBC"/>
    <n v="12260.71"/>
    <m/>
    <n v="921.37299999999993"/>
    <n v="708.62599999999998"/>
    <n v="650.67499999999995"/>
    <n v="928.60500000000002"/>
    <n v="5592.8250000000007"/>
    <n v="4379.9780000000001"/>
    <s v="Estimated"/>
    <s v="Constant"/>
    <s v="2009/10"/>
    <s v="http://www2.nationalgrid.com/"/>
    <s v="NG Update"/>
    <s v="Other works in National Grid Electricty Transmission investment programme from 2011/12 through to 2020/21. Any subsequent investment proposal would require regulatory approval. Economically regulated investment is also not generally confirmed beyond currently determined regulatory periods."/>
    <m/>
    <n v="984.25719199666685"/>
    <n v="756.99009731762283"/>
    <n v="695.08391107882608"/>
    <n v="991.98277980151897"/>
    <n v="5974.5382487100887"/>
    <n v="4678.9138028650477"/>
    <n v="3428.313980194635"/>
    <n v="10653.452051575136"/>
    <n v="13097.508839773103"/>
  </r>
  <r>
    <x v="1"/>
    <s v="Electricity transmission"/>
    <s v="Electricity transmission"/>
    <m/>
    <m/>
    <s v="Scotland-England Series Compensation"/>
    <s v="Series compensation works to increase capacity of on-shore Scottish-England interconnection."/>
    <s v="UK"/>
    <s v="Private"/>
    <s v="Yes"/>
    <s v="Private"/>
    <s v="In Construction"/>
    <s v="Started"/>
    <n v="2015"/>
    <n v="34.033999999999999"/>
    <m/>
    <n v="2.1190000000000002"/>
    <n v="12.86"/>
    <n v="3.395"/>
    <n v="1.4999999999999999E-2"/>
    <m/>
    <m/>
    <s v="Estimated"/>
    <s v="Constant"/>
    <s v="2009/10"/>
    <s v="http://www2.nationalgrid.com/"/>
    <s v="NG Update"/>
    <s v="Series compensation on National Grid circuits. Costs are for NG works only. Any subsequent investment proposal would require regulatory approval. Economically regulated investment is also not generally confirmed beyond currently determined regulatory periods."/>
    <m/>
    <n v="2.2636228648342613"/>
    <n v="13.73770176581812"/>
    <n v="3.6267105361549388"/>
    <n v="1.6023757891700761E-2"/>
    <n v="0"/>
    <n v="0"/>
    <n v="19.644058924699021"/>
    <n v="0"/>
    <n v="17.38043605986476"/>
  </r>
  <r>
    <x v="1"/>
    <s v="Electricity transmission"/>
    <s v="Electricity transmission"/>
    <m/>
    <m/>
    <s v="Beauly-Denny 400kv line"/>
    <s v="Beauly-Denny 400kv line"/>
    <s v="Scotland"/>
    <s v="Private"/>
    <s v="Yes"/>
    <s v="Private"/>
    <s v="In Construction"/>
    <n v="2010"/>
    <n v="2015"/>
    <n v="690"/>
    <m/>
    <m/>
    <n v="157"/>
    <n v="110"/>
    <n v="78"/>
    <m/>
    <m/>
    <s v="Estimated"/>
    <s v="Constant"/>
    <s v="2009/10"/>
    <s v="www.sse.com/BeaulyDenny"/>
    <s v="SSE"/>
    <s v="SSE is installing a 400kV overhead electricity transmission line to replace an existing 132kV overhead transmission line between Beauly and Denny."/>
    <s v="Yes"/>
    <n v="0"/>
    <n v="167.71533259980129"/>
    <n v="117.50755787247225"/>
    <n v="83.323541036843963"/>
    <n v="0"/>
    <n v="0"/>
    <n v="368.5464315091175"/>
    <n v="0"/>
    <n v="368.5464315091175"/>
  </r>
  <r>
    <x v="1"/>
    <s v="Electricity transmission"/>
    <s v="Electricity transmission"/>
    <m/>
    <m/>
    <s v="Beauly-Blackhillock-Kintore 275kv reconductoring"/>
    <s v="Beauly-Blackhillock-Kintore 275kv reconductoring"/>
    <s v="Scotland"/>
    <s v="Private"/>
    <s v="Yes"/>
    <s v="Private"/>
    <s v="In Construction"/>
    <n v="2010"/>
    <n v="2015"/>
    <n v="85"/>
    <m/>
    <m/>
    <n v="18"/>
    <n v="19"/>
    <n v="14"/>
    <m/>
    <m/>
    <s v="Estimated"/>
    <s v="Constant"/>
    <s v="2009/10"/>
    <s v="www.sse.com/Beaulykintore"/>
    <s v="SSE"/>
    <s v="SSE is undertaking a programme of refurbishment for the existing Beauly to Blackhillock electricity transmission line, including the replacement of the existing conductors (wires) with modern conductors"/>
    <m/>
    <n v="0"/>
    <n v="19.228509470040912"/>
    <n v="20.296759996154297"/>
    <n v="14.955507365587376"/>
    <n v="0"/>
    <n v="0"/>
    <n v="54.480776831782592"/>
    <n v="0"/>
    <n v="54.480776831782592"/>
  </r>
  <r>
    <x v="1"/>
    <s v="Electricity transmission"/>
    <s v="Electricity transmission"/>
    <m/>
    <m/>
    <s v="Beauly-Dounreay 2nd 275kV circuit"/>
    <s v="Beauly-Dounreay 2nd 275kV circuit"/>
    <s v="Scotland"/>
    <s v="Private"/>
    <s v="Yes"/>
    <s v="Private"/>
    <s v="In Construction"/>
    <n v="2010"/>
    <n v="2013"/>
    <n v="50"/>
    <m/>
    <m/>
    <n v="8"/>
    <m/>
    <m/>
    <m/>
    <m/>
    <s v="Estimated"/>
    <s v="Constant"/>
    <s v="2009/10"/>
    <s v="www.sse.com/dounreaybeauly"/>
    <s v="SSE"/>
    <s v="This project is an upgrade and reinforcement of the existing electricity transmission network between Dounreay, Caithness and Beauly. The work has now been completed. _x000a_"/>
    <m/>
    <n v="0"/>
    <n v="8.5460042089070729"/>
    <n v="0"/>
    <n v="0"/>
    <n v="0"/>
    <n v="0"/>
    <n v="8.5460042089070729"/>
    <n v="0"/>
    <n v="8.5460042089070729"/>
  </r>
  <r>
    <x v="1"/>
    <s v="Electricity transmission"/>
    <s v="Electricity transmission"/>
    <m/>
    <m/>
    <s v="Beauly-Mossford 132kv line"/>
    <s v="Beauly-Mossford 132kv line"/>
    <s v="Scotland"/>
    <s v="Private"/>
    <s v="Yes"/>
    <s v="Private"/>
    <s v="In Construction"/>
    <n v="2012"/>
    <n v="2015"/>
    <n v="62"/>
    <m/>
    <m/>
    <n v="19"/>
    <n v="23"/>
    <n v="9"/>
    <n v="2"/>
    <m/>
    <s v="Estimated"/>
    <s v="Constant"/>
    <s v="2009/10"/>
    <s v="www.sse.com/beaulymossford"/>
    <s v="SSE"/>
    <s v="The purpose of replacing the existing lines with a higher capacity double cirucit is to increase the transmission capacity for outlying mainland areas (in this case, namely Ross &amp; Cromarty county) to enable renewable generation export from this region onto the main system "/>
    <m/>
    <n v="0"/>
    <n v="20.296759996154297"/>
    <n v="24.569762100607832"/>
    <n v="9.6142547350204559"/>
    <n v="2.1365010522267682"/>
    <n v="0"/>
    <n v="54.480776831782578"/>
    <n v="2.1365010522267682"/>
    <n v="56.617277884009347"/>
  </r>
  <r>
    <x v="1"/>
    <s v="Electricity transmission"/>
    <s v="Electricity transmission"/>
    <m/>
    <m/>
    <s v="Kintrye-Hunterston upgrade"/>
    <s v="Kintrye-Hunterston upgrade"/>
    <s v="Scotland"/>
    <s v="Private"/>
    <s v="Yes"/>
    <s v="Private"/>
    <s v="In Construction"/>
    <n v="2013"/>
    <n v="2016"/>
    <n v="202"/>
    <m/>
    <m/>
    <n v="30"/>
    <n v="39"/>
    <n v="123"/>
    <n v="10"/>
    <m/>
    <s v="Estimated"/>
    <s v="Constant"/>
    <s v="2009/10"/>
    <s v="www.sse.com/KintyreHunterston"/>
    <s v="SSE"/>
    <s v="The purpose of these reinforcements is to increase the transmission capacity for outlying mainland areas (in this case, namely the Argyll county area) to enable renewable generation export from this region onto the main system"/>
    <m/>
    <n v="0"/>
    <n v="32.047515783401522"/>
    <n v="41.661770518421982"/>
    <n v="131.39481471194625"/>
    <n v="10.682505261133841"/>
    <n v="0"/>
    <n v="205.10410101376976"/>
    <n v="10.682505261133841"/>
    <n v="215.78660627490359"/>
  </r>
  <r>
    <x v="1"/>
    <s v="Electricity transmission"/>
    <s v="Electricity transmission"/>
    <m/>
    <m/>
    <s v="Base Capex and Connections"/>
    <s v="Base Capex and Connections"/>
    <s v="Scotland"/>
    <s v="Private"/>
    <s v="Yes"/>
    <s v="Private"/>
    <s v="In Construction"/>
    <s v="Started"/>
    <n v="2021"/>
    <n v="800"/>
    <m/>
    <m/>
    <n v="100"/>
    <n v="100"/>
    <n v="100"/>
    <n v="400"/>
    <n v="100"/>
    <s v="Estimated"/>
    <s v="Constant"/>
    <s v="2009/10"/>
    <s v="www.sse.com"/>
    <s v="SSE"/>
    <s v="This category includes for works associated with Base Capital Upgrades, Customer Connections and pre-construction works.  An estimate of £100m per annum has been forecast and will be subject to variation depending on levels of connected generation."/>
    <m/>
    <n v="0"/>
    <n v="106.82505261133841"/>
    <n v="106.82505261133841"/>
    <n v="106.82505261133841"/>
    <n v="427.30021044535363"/>
    <n v="106.82505261133841"/>
    <n v="320.47515783401525"/>
    <n v="534.12526305669201"/>
    <n v="854.60042089070726"/>
  </r>
  <r>
    <x v="1"/>
    <s v="Electricity transmission"/>
    <s v="Electricity transmission"/>
    <s v="SSE Transmission - additional expenditure"/>
    <m/>
    <m/>
    <s v="Scottish transmission - additional RIIO expenditure for period 2013 to 2021"/>
    <s v="Scotland"/>
    <s v="Private"/>
    <s v="Yes"/>
    <s v="Private"/>
    <s v="Active Programme"/>
    <n v="2013"/>
    <n v="2021"/>
    <n v="3809"/>
    <m/>
    <m/>
    <n v="5"/>
    <n v="79"/>
    <n v="445"/>
    <n v="2884"/>
    <n v="396"/>
    <s v="Estimated"/>
    <s v="Constant"/>
    <s v="2009/10"/>
    <s v="www.sse.com"/>
    <s v="SSE"/>
    <s v="Additional RIIO expenditure subject to further development &amp; approval for the period 2013/14 to 2020/21."/>
    <m/>
    <n v="0"/>
    <n v="5.3412526305669203"/>
    <n v="84.391791562957337"/>
    <n v="475.37148412045593"/>
    <n v="3080.8345173109997"/>
    <n v="423.02720834090007"/>
    <n v="565.10452831398015"/>
    <n v="3503.8617256518996"/>
    <n v="4068.9662539658798"/>
  </r>
  <r>
    <x v="1"/>
    <s v="Electricity transmission"/>
    <s v="Electricity transmission"/>
    <m/>
    <m/>
    <s v="South West"/>
    <s v="Upgrades to connect Hinkley nuclear power station &amp; further increase export capacity from the South West."/>
    <s v="South West"/>
    <s v="Private"/>
    <s v="Yes"/>
    <s v="Private"/>
    <s v="Scoping"/>
    <s v="TBC"/>
    <n v="2019"/>
    <n v="310.89"/>
    <m/>
    <n v="15.292999999999999"/>
    <n v="19.619"/>
    <n v="21.847999999999999"/>
    <n v="75.563999999999993"/>
    <n v="193.85399999999998"/>
    <m/>
    <s v="Estimated"/>
    <s v="Constant"/>
    <s v="2009/10"/>
    <s v="http://www2.nationalgrid.com/"/>
    <s v="NG Update"/>
    <s v="Works to upgrade transmission system in south west. Any subsequent investment proposal would require regulatory approval. Economically regulated investment is also not generally confirmed beyond currently determined regulatory periods. "/>
    <m/>
    <n v="16.336755295851983"/>
    <n v="20.958007071818482"/>
    <n v="23.339137494525211"/>
    <n v="80.721282755231755"/>
    <n v="207.08463748918393"/>
    <n v="0"/>
    <n v="141.35518261742743"/>
    <n v="207.08463748918393"/>
    <n v="332.10306481075941"/>
  </r>
  <r>
    <x v="1"/>
    <s v="Electricity transmission"/>
    <s v="Electricity transmission"/>
    <s v="SP Transmission Ltd - RIIO-T1 final proposals"/>
    <m/>
    <m/>
    <s v="Settlement for period 2013 to 2021"/>
    <s v="Scotland"/>
    <s v="Private"/>
    <s v="Yes"/>
    <s v="Private"/>
    <s v="Active Programme"/>
    <n v="2013"/>
    <n v="2021"/>
    <n v="2005.9"/>
    <m/>
    <m/>
    <n v="242.6"/>
    <n v="422.9"/>
    <n v="359"/>
    <n v="827.8"/>
    <n v="153.69999999999999"/>
    <s v="Estimated"/>
    <s v="Constant"/>
    <s v="2009/10"/>
    <s v="http://www.sppowersystems.com/"/>
    <s v="Ofgem - http://www.ofgem.gov.uk/NETWORKS/TRANS/PRICECONTROLS/RIIO-T1/CONRES/Documents1/SPTSHETLFPsupport.pdf"/>
    <s v="Data only provided at aggregate level."/>
    <m/>
    <n v="0"/>
    <n v="259.15757763510697"/>
    <n v="451.76314749335012"/>
    <n v="383.50193887470488"/>
    <n v="884.29778551665936"/>
    <n v="164.19010586362711"/>
    <n v="1094.422664003162"/>
    <n v="1048.4878913802866"/>
    <n v="2142.9105553834488"/>
  </r>
  <r>
    <x v="1"/>
    <s v="Electricity transmission"/>
    <s v="Electricity transmission"/>
    <m/>
    <m/>
    <s v="Eastern HVDC Link"/>
    <s v="New HVDC subsea cable connecting Scotland to Northern England to facilitate flow of electricity from north to south"/>
    <s v="UK"/>
    <s v="Private"/>
    <s v="Yes"/>
    <s v="Private"/>
    <s v="Scoping"/>
    <s v="TBC"/>
    <n v="2019"/>
    <n v="590.14700000000005"/>
    <m/>
    <n v="2.1840000000000002"/>
    <n v="0.51900000000000002"/>
    <m/>
    <n v="29.492999999999999"/>
    <n v="479.608"/>
    <m/>
    <s v="Estimated"/>
    <s v="Constant"/>
    <s v="2009/10"/>
    <s v="http://www2.nationalgrid.com/"/>
    <s v="NG Update"/>
    <s v="Joint project between NG, SPTL and SHETL. Costs are for NG works only. Pre-construction funding only approved. Any subsequent investment proposal would require regulatory approval. Economically regulated investment is also not generally confirmed beyond currently determined regulatory periods._x000a_"/>
    <m/>
    <n v="2.333059149031631"/>
    <n v="0.55442202305284627"/>
    <n v="0"/>
    <n v="31.505912766662032"/>
    <n v="512.34149832818798"/>
    <n v="0"/>
    <n v="34.393393938746513"/>
    <n v="512.34149832818798"/>
    <n v="544.40183311790281"/>
  </r>
  <r>
    <x v="1"/>
    <s v="Electricity transmission"/>
    <s v="Electricity transmission"/>
    <m/>
    <m/>
    <s v="London Cables"/>
    <s v="Replacement of aging underground cable infrastructure in London into tunnels."/>
    <s v="London"/>
    <s v="Private"/>
    <s v="Yes"/>
    <s v="Private"/>
    <s v="In Construction"/>
    <n v="2011"/>
    <n v="2018"/>
    <n v="654.31200000000001"/>
    <m/>
    <n v="85.564999999999998"/>
    <n v="125.14100000000001"/>
    <n v="83.92"/>
    <n v="54.752000000000002"/>
    <n v="101.126"/>
    <m/>
    <s v="Estimated"/>
    <s v="Constant"/>
    <s v="2009/10"/>
    <s v="http://www2.nationalgrid.com/"/>
    <s v="NG Update"/>
    <s v="Works to replace existing underground cable network in London into tunnels. Any subsequent investment proposal would require regulatory approval. Economically regulated investment is also not generally confirmed beyond currently determined regulatory periods."/>
    <s v="Yes"/>
    <n v="91.404856266891713"/>
    <n v="133.68193908835499"/>
    <n v="89.647584151435197"/>
    <n v="58.488852805760004"/>
    <n v="108.02790270374209"/>
    <n v="0"/>
    <n v="373.22323231244189"/>
    <n v="108.02790270374209"/>
    <n v="389.84627874929225"/>
  </r>
  <r>
    <x v="1"/>
    <s v="Electricity transmission"/>
    <s v="Electricity transmission"/>
    <m/>
    <m/>
    <s v="Scotland-England interconnector"/>
    <s v="Works to increase capacity of on-shore Scottish-England interconnector."/>
    <s v="UK"/>
    <s v="Private"/>
    <s v="Yes"/>
    <s v="Private"/>
    <s v="In Construction"/>
    <s v="Started"/>
    <n v="2014"/>
    <n v="250.03900000000002"/>
    <m/>
    <n v="28.927"/>
    <n v="66.415999999999997"/>
    <n v="7.6769999999999996"/>
    <n v="1.4999999999999999E-2"/>
    <m/>
    <m/>
    <s v="Estimated"/>
    <s v="Constant"/>
    <s v="2009/10"/>
    <s v="http://www2.nationalgrid.com/"/>
    <s v="NG Update"/>
    <s v="Joint projects with Scottish transmission companies. Costs are for NG works only. Includes &quot;Transmission Investment in Renewable Generation&quot; (TIRG) works. Any subsequent investment proposal would require regulatory approval. Economically regulated investment is also not generally confirmed beyond currently determined regulatory periods."/>
    <m/>
    <n v="30.901282968881858"/>
    <n v="70.948926942346503"/>
    <n v="8.2009592889724487"/>
    <n v="1.6023757891700761E-2"/>
    <n v="0"/>
    <n v="0"/>
    <n v="110.06719295809251"/>
    <n v="0"/>
    <n v="79.165909989210647"/>
  </r>
  <r>
    <x v="1"/>
    <s v="Electricity transmission"/>
    <s v="Electricity transmission"/>
    <m/>
    <m/>
    <s v="Western HVDC link"/>
    <s v="New HVDC subsea cable connecting Scotland to Northern England/North Wales to facilitate flow of electricity from north to south"/>
    <s v="UK"/>
    <s v="Private"/>
    <s v="Yes"/>
    <s v="Private"/>
    <s v="In Construction"/>
    <n v="2012"/>
    <n v="2016"/>
    <n v="883.45899999999995"/>
    <m/>
    <n v="113.26900000000001"/>
    <n v="200.708"/>
    <n v="212.95599999999999"/>
    <n v="151.65299999999999"/>
    <n v="87.210999999999999"/>
    <m/>
    <s v="Estimated"/>
    <s v="Constant"/>
    <s v="2009/10"/>
    <s v="http://www2.nationalgrid.com/"/>
    <s v="NG Update"/>
    <s v="Joint National Grid - Scottish Power project. Some regulatory funding approved for aspects of this project. Any subsequent investment proposal would require regulatory approval. Economically regulated investment is also not generally confirmed beyond currently determined regulatory periods. Costs are for NG works only."/>
    <s v="Yes"/>
    <n v="120.99966884233692"/>
    <n v="214.40642659516507"/>
    <n v="227.49035903900179"/>
    <n v="162.00339703667302"/>
    <n v="93.163196632874346"/>
    <n v="0"/>
    <n v="724.89985151317683"/>
    <n v="93.163196632874346"/>
    <n v="697.06337930371433"/>
  </r>
  <r>
    <x v="1"/>
    <s v="Electricity transmission"/>
    <s v="Electricity transmission"/>
    <m/>
    <m/>
    <s v="Wylfa-Pembroke HVDC Link"/>
    <s v="New HVDC subsea cable connecting North Wales (Wylfa) to South Wales (Pembroke)."/>
    <s v="Wales"/>
    <s v="Private"/>
    <s v="Yes"/>
    <s v="Private"/>
    <s v="Scoping"/>
    <s v="TBC"/>
    <n v="2022"/>
    <n v="672.35199999999998"/>
    <m/>
    <n v="8.6999999999999994E-2"/>
    <m/>
    <m/>
    <m/>
    <n v="201.70599999999999"/>
    <n v="470.64699999999999"/>
    <s v="Estimated"/>
    <s v="Constant"/>
    <s v="2009/10"/>
    <s v="http://www2.nationalgrid.com/"/>
    <s v="NG Update"/>
    <s v="Pre-construction assessment underway. Any subsequent investment proposal would require regulatory approval. NG has also held initial discussions with stakeholders including local authorities, Welsh Government, the Countryside Council for Wales, the Environment Agency Wales, Snowdonia National Park, Cadw, the generators and ScottishPower Energy Networks. _x000a_"/>
    <m/>
    <n v="9.2937795771864409E-2"/>
    <n v="0"/>
    <n v="0"/>
    <n v="0"/>
    <n v="215.47254062022623"/>
    <n v="502.76890536368586"/>
    <n v="9.2937795771864409E-2"/>
    <n v="718.24144598391206"/>
    <n v="718.24144598391206"/>
  </r>
  <r>
    <x v="1"/>
    <s v="Gas Distribution"/>
    <s v="Gas Distribution"/>
    <s v="Asset Health Integrity (excl. NRMP)"/>
    <m/>
    <m/>
    <s v="Management of safety risk, maintaining supplies. Component of Asset Health investment categorized as CAPEX"/>
    <s v="UK"/>
    <s v="Private"/>
    <s v="Yes"/>
    <s v="Private"/>
    <s v="Active Programme"/>
    <s v="Started"/>
    <s v="TBC"/>
    <n v="248"/>
    <m/>
    <n v="34"/>
    <n v="34"/>
    <n v="31"/>
    <n v="35"/>
    <n v="148"/>
    <m/>
    <s v="Estimated"/>
    <s v="Constant"/>
    <s v="2009/10"/>
    <s v="http://www2.nationalgrid.com/"/>
    <s v="National Grid Gas Distribution Network Innovation and Investment Team.  "/>
    <s v="NG has looked at this from the perspective of the RIIO 8 year period within which National Grid currently operates and as such Date of Allocated funding is set to the date of GDx acceptance of the Final Proposals from Ofgem and the expiry date for existing frameworks is 2021.  Also the column titled Total capex cost is set to the period 2013/14 - 2020/21 inclusive and not including 2011/12 and 2012/13 as the values are not as easily comparable being from different regulatory frameworks. Procurement is mainly sub-contracted. This relates to the component of Asset Health investment categorised as CAPEX.  "/>
    <m/>
    <n v="36.320517887855061"/>
    <n v="36.320517887855061"/>
    <n v="33.115766309514903"/>
    <n v="37.388768413968442"/>
    <n v="158.10107786478085"/>
    <n v="0"/>
    <n v="143.14557049919347"/>
    <n v="158.10107786478085"/>
    <n v="264.92613047611928"/>
  </r>
  <r>
    <x v="1"/>
    <s v="Gas Distribution"/>
    <s v="Gas Distribution"/>
    <s v="Capacity Driven (Network Reinforcement)"/>
    <m/>
    <m/>
    <s v="Increased security of supply, facilitating connection to the network. "/>
    <s v="UK"/>
    <s v="Private"/>
    <s v="Yes"/>
    <s v="Private"/>
    <s v="Active Programme"/>
    <s v="Started"/>
    <s v="TBC"/>
    <n v="90"/>
    <m/>
    <n v="7"/>
    <n v="7"/>
    <n v="13"/>
    <n v="18"/>
    <n v="52"/>
    <m/>
    <s v="Estimated"/>
    <s v="Constant"/>
    <s v="2009/10"/>
    <s v="http://www2.nationalgrid.com/"/>
    <s v="National Grid Gas Distribution Network Innovation and Investment Team.  "/>
    <s v="NG has looked at this from the perspective of the RIIO 8 year period within which National Grid currently operates and as such Date of Allocated funding is set to the date of GDx acceptance of the Final Proposals from Ofgem and the expiry date for existing frameworks is 2021.  Also the column titled Total capex cost is set to the period 2013/14 - 2020/21 inclusive and not including 2011/12 and 2012/13 as the values are not as easily comparable being from different regulatory frameworks. Framework used is NEC Option 3."/>
    <m/>
    <n v="7.4777536827936881"/>
    <n v="7.4777536827936881"/>
    <n v="13.887256839473993"/>
    <n v="19.228509470040912"/>
    <n v="55.549027357895973"/>
    <n v="0"/>
    <n v="48.071273675102283"/>
    <n v="55.549027357895973"/>
    <n v="96.142547350204566"/>
  </r>
  <r>
    <x v="1"/>
    <s v="Gas Distribution"/>
    <s v="Gas Distribution"/>
    <s v="Customer Driven (Connections)"/>
    <m/>
    <m/>
    <s v="Facilitating connection to the network. "/>
    <s v="UK"/>
    <s v="Private"/>
    <s v="Yes"/>
    <s v="Private"/>
    <s v="Active Programme"/>
    <s v="Started"/>
    <s v="TBC"/>
    <n v="167"/>
    <m/>
    <n v="26"/>
    <n v="19"/>
    <n v="20"/>
    <n v="20"/>
    <n v="108"/>
    <m/>
    <s v="Estimated"/>
    <s v="Constant"/>
    <s v="2009/10"/>
    <s v="http://www2.nationalgrid.com/"/>
    <s v="National Grid Gas Distribution Network Innovation and Investment Team.  "/>
    <s v="NG has looked at this from the perspective of the RIIO 8 year period within which National Grid currently operates and as such Date of Allocated funding is set to the date of GDx acceptance of the Final Proposals from Ofgem and the expiry date for existing frameworks is 2021.  Also the column titled Total capex cost is set to the period 2013/14 - 2020/21 inclusive and not including 2011/12 and 2012/13 as the values are not as easily comparable being from different regulatory frameworks. Framework used is NEC Option 3."/>
    <m/>
    <n v="27.774513678947987"/>
    <n v="20.296759996154297"/>
    <n v="21.365010522267681"/>
    <n v="21.365010522267681"/>
    <n v="115.37105682024549"/>
    <n v="0"/>
    <n v="90.801294719637639"/>
    <n v="115.37105682024549"/>
    <n v="178.39783786093514"/>
  </r>
  <r>
    <x v="1"/>
    <s v="Gas Distribution"/>
    <s v="Gas Distribution"/>
    <s v="Distribution System Mains and Services Replacement"/>
    <m/>
    <m/>
    <s v="Management of safety risk, maintaining supplies."/>
    <s v="UK"/>
    <s v="Private"/>
    <s v="Yes"/>
    <s v="Private"/>
    <s v="Active Programme"/>
    <s v="Started"/>
    <s v="TBC"/>
    <n v="3256"/>
    <m/>
    <n v="459"/>
    <n v="399"/>
    <n v="399"/>
    <n v="407"/>
    <n v="2051"/>
    <m/>
    <s v="Estimated"/>
    <s v="Constant"/>
    <s v="2009/10"/>
    <s v="http://www2.nationalgrid.com/"/>
    <s v="National Grid Gas Distribution Network Innovation and Investment Team.  "/>
    <s v="NG has looked at this from the perspective of the RIIO 8 year period within which National Grid currently operates and as such Date of Allocated funding is set to the date of GDx acceptance of the Final Proposals from Ofgem and the expiry date for existing frameworks is 2021.  Also the column titled Total capex cost is set to the period 2013/14 - 2020/21 inclusive and not including 2011/12 and 2012/13 as the values are not as easily comparable being from different regulatory frameworks. Framework used is NEC Option 3."/>
    <m/>
    <n v="490.32699148604331"/>
    <n v="426.23195991924024"/>
    <n v="426.23195991924024"/>
    <n v="434.77796412814729"/>
    <n v="2190.9818290585508"/>
    <n v="0"/>
    <n v="1777.5688754526709"/>
    <n v="2190.9818290585508"/>
    <n v="3478.2237130251783"/>
  </r>
  <r>
    <x v="1"/>
    <s v="Gas Distribution"/>
    <s v="Gas Distribution"/>
    <s v="Gas Holder Demolition and Holder Land Remediation"/>
    <m/>
    <m/>
    <s v="Facilitates land sale and removal of risk from aging assets that are no longer required. "/>
    <s v="UK"/>
    <s v="Private"/>
    <s v="Yes"/>
    <s v="Private"/>
    <s v="Active Programme"/>
    <s v="Started"/>
    <s v="TBC"/>
    <n v="28"/>
    <m/>
    <n v="6"/>
    <n v="12"/>
    <n v="10"/>
    <m/>
    <m/>
    <m/>
    <s v="Estimated"/>
    <s v="Constant"/>
    <s v="2009/10"/>
    <s v="http://www2.nationalgrid.com/"/>
    <s v="National Grid"/>
    <m/>
    <m/>
    <n v="6.4095031566803042"/>
    <n v="12.819006313360608"/>
    <n v="10.682505261133841"/>
    <n v="0"/>
    <n v="0"/>
    <n v="0"/>
    <n v="29.911014731174753"/>
    <n v="0"/>
    <n v="23.501511574494447"/>
  </r>
  <r>
    <x v="1"/>
    <s v="Gas Distribution"/>
    <s v="Gas Distribution"/>
    <s v="National Grid Gas - East of England - RIIO-GD1"/>
    <m/>
    <m/>
    <s v="NGG EoE"/>
    <s v="East of England"/>
    <s v="Private"/>
    <s v="Yes"/>
    <s v="Private"/>
    <s v="Active Programme"/>
    <n v="2013"/>
    <n v="2021"/>
    <n v="985.92000000000007"/>
    <m/>
    <m/>
    <n v="127.42"/>
    <n v="123.08"/>
    <n v="122.51"/>
    <n v="491.21"/>
    <n v="121.7"/>
    <s v="Estimated"/>
    <s v="Constant"/>
    <s v="2009/10"/>
    <s v="https://www.ofgem.gov.uk/network-regulation-%e2%80%93-riio-model/riio-gd1-price-control"/>
    <s v="Ofgem"/>
    <s v="Note: these figures are based on a simplifying assumption that 75% of iron mains replacement expenditure constitutes capex, reflecting Ofgem's policy of transitioning from 50% capitalisation in GDPCR to 100% capitalisation by the end of RIIO-GD1 for this type of expenditure"/>
    <m/>
    <n v="0"/>
    <n v="136.1164820373674"/>
    <n v="131.48027475403532"/>
    <n v="130.87137195415067"/>
    <n v="524.7353409321554"/>
    <n v="130.00608902799885"/>
    <n v="398.46812874555343"/>
    <n v="654.74142996015428"/>
    <n v="1053.2095587057077"/>
  </r>
  <r>
    <x v="1"/>
    <s v="Gas Distribution"/>
    <s v="Gas Distribution"/>
    <s v="National Grid Gas - London - RIIO-GD1"/>
    <m/>
    <m/>
    <s v="NGG Lon"/>
    <s v="London"/>
    <s v="Private"/>
    <s v="Yes"/>
    <s v="Private"/>
    <s v="Active Programme"/>
    <n v="2013"/>
    <n v="2021"/>
    <n v="1027.27"/>
    <m/>
    <m/>
    <n v="123.88"/>
    <n v="123.89"/>
    <n v="129.6"/>
    <n v="517.75"/>
    <n v="132.15"/>
    <s v="Estimated"/>
    <s v="Constant"/>
    <s v="2009/10"/>
    <s v="https://www.ofgem.gov.uk/network-regulation-%e2%80%93-riio-model/riio-gd1-price-control"/>
    <s v="Ofgem"/>
    <s v="Note: these figures are based on a simplifying assumption that 75% of iron mains replacement expenditure constitutes capex, reflecting Ofgem's policy of transitioning from 50% capitalisation in GDPCR to 100% capitalisation by the end of RIIO-GD1 for this type of expenditure"/>
    <m/>
    <n v="0"/>
    <n v="132.33487517492603"/>
    <n v="132.34555768018714"/>
    <n v="138.44526818429458"/>
    <n v="553.08670989520465"/>
    <n v="141.16930702588371"/>
    <n v="403.12570103940777"/>
    <n v="694.2560169210883"/>
    <n v="1097.3817179604962"/>
  </r>
  <r>
    <x v="1"/>
    <s v="Gas Distribution"/>
    <s v="Gas Distribution"/>
    <s v="National Grid Gas - North West - RIIO-GD1"/>
    <m/>
    <m/>
    <s v="NGG NW"/>
    <s v="North West"/>
    <s v="Private"/>
    <s v="Yes"/>
    <s v="Private"/>
    <s v="Active Programme"/>
    <n v="2013"/>
    <n v="2021"/>
    <n v="759.32000000000016"/>
    <m/>
    <m/>
    <n v="97.74"/>
    <n v="94.82"/>
    <n v="93.9"/>
    <n v="379.43"/>
    <n v="93.43"/>
    <s v="Estimated"/>
    <s v="Constant"/>
    <s v="2009/10"/>
    <s v="https://www.ofgem.gov.uk/network-regulation-%e2%80%93-riio-model/riio-gd1-price-control"/>
    <s v="Ofgem"/>
    <s v="Note: these figures are based on a simplifying assumption that 75% of iron mains replacement expenditure constitutes capex, reflecting Ofgem's policy of transitioning from 50% capitalisation in GDPCR to 100% capitalisation by the end of RIIO-GD1 for this type of expenditure"/>
    <m/>
    <n v="0"/>
    <n v="104.41080642232215"/>
    <n v="101.29151488607107"/>
    <n v="100.30872440204676"/>
    <n v="405.3262971232013"/>
    <n v="99.806646654773473"/>
    <n v="306.01104571043999"/>
    <n v="505.13294377797479"/>
    <n v="811.14398948841472"/>
  </r>
  <r>
    <x v="1"/>
    <s v="Gas Distribution"/>
    <s v="Gas Distribution"/>
    <s v="National Grid Gas - West Midlands - RIIO-GD1"/>
    <m/>
    <m/>
    <s v="NGG WM"/>
    <s v="West Midlands"/>
    <s v="Private"/>
    <s v="Yes"/>
    <s v="Private"/>
    <s v="Active Programme"/>
    <n v="2013"/>
    <n v="2021"/>
    <n v="598.07999999999993"/>
    <m/>
    <m/>
    <n v="75.44"/>
    <n v="75.7"/>
    <n v="74.38"/>
    <n v="298.79000000000002"/>
    <n v="73.77"/>
    <s v="Estimated"/>
    <s v="Constant"/>
    <s v="2009/10"/>
    <s v="https://www.ofgem.gov.uk/network-regulation-%e2%80%93-riio-model/riio-gd1-price-control"/>
    <s v="Ofgem"/>
    <s v="Note: these figures are based on a simplifying assumption that 75% of iron mains replacement expenditure constitutes capex, reflecting Ofgem's policy of transitioning from 50% capitalisation in GDPCR to 100% capitalisation by the end of RIIO-GD1 for this type of expenditure"/>
    <m/>
    <n v="0"/>
    <n v="80.588819689993699"/>
    <n v="80.866564826783176"/>
    <n v="79.456474132313502"/>
    <n v="319.18257469741809"/>
    <n v="78.804841311384337"/>
    <n v="240.91185864909036"/>
    <n v="397.98741600880243"/>
    <n v="638.89927465789276"/>
  </r>
  <r>
    <x v="1"/>
    <s v="Gas Distribution"/>
    <s v="Gas Distribution"/>
    <s v="Northern Gas Networks - RIIO-GD1"/>
    <m/>
    <m/>
    <s v="NGN"/>
    <s v="North East"/>
    <s v="Private"/>
    <s v="Yes"/>
    <s v="Private"/>
    <s v="Active Programme"/>
    <n v="2013"/>
    <n v="2021"/>
    <n v="861.36"/>
    <m/>
    <m/>
    <n v="107.11"/>
    <n v="109.79"/>
    <n v="110.39"/>
    <n v="427.93"/>
    <n v="106.14"/>
    <s v="Estimated"/>
    <s v="Constant"/>
    <s v="2009/10"/>
    <s v="https://www.ofgem.gov.uk/network-regulation-%e2%80%93-riio-model/riio-gd1-price-control"/>
    <s v="Ofgem"/>
    <s v="Note: these figures are based on a simplifying assumption that 75% of iron mains replacement expenditure constitutes capex, reflecting Ofgem's policy of transitioning from 50% capitalisation in GDPCR to 100% capitalisation by the end of RIIO-GD1 for this type of expenditure"/>
    <m/>
    <n v="0"/>
    <n v="114.42031385200457"/>
    <n v="117.28322526198843"/>
    <n v="117.92417557765647"/>
    <n v="457.13644763970046"/>
    <n v="113.38411084167458"/>
    <n v="349.62771469164949"/>
    <n v="570.52055848137502"/>
    <n v="920.14827317302456"/>
  </r>
  <r>
    <x v="1"/>
    <s v="Gas Distribution"/>
    <s v="Gas Distribution"/>
    <s v="Scotia Gas Networks - Scotland - RIIO-GD1"/>
    <m/>
    <m/>
    <s v="SGN SC"/>
    <s v="Scotland"/>
    <s v="Private"/>
    <s v="Yes"/>
    <s v="Private"/>
    <s v="Active Programme"/>
    <n v="2013"/>
    <n v="2021"/>
    <n v="658.41000000000008"/>
    <m/>
    <m/>
    <n v="84.44"/>
    <n v="81.92"/>
    <n v="80.05"/>
    <n v="332.04"/>
    <n v="79.959999999999994"/>
    <s v="Estimated"/>
    <s v="Constant"/>
    <s v="2009/10"/>
    <s v="https://www.ofgem.gov.uk/network-regulation-%e2%80%93-riio-model/riio-gd1-price-control"/>
    <s v="Ofgem"/>
    <s v="Note: these figures are based on a simplifying assumption that 75% of iron mains replacement expenditure constitutes capex, reflecting Ofgem's policy of transitioning from 50% capitalisation in GDPCR to 100% capitalisation by the end of RIIO-GD1 for this type of expenditure"/>
    <m/>
    <n v="0"/>
    <n v="90.203074425014151"/>
    <n v="87.51108309920842"/>
    <n v="85.513454615376389"/>
    <n v="354.70190469068802"/>
    <n v="85.417312068026177"/>
    <n v="263.22761213959893"/>
    <n v="440.11921675871417"/>
    <n v="703.34682889831311"/>
  </r>
  <r>
    <x v="1"/>
    <s v="Gas Distribution"/>
    <s v="Gas Distribution"/>
    <s v="Scotia Gas Networks - Southern - RIIO-GD1"/>
    <m/>
    <m/>
    <s v="SGN SO"/>
    <s v="Scotland"/>
    <s v="Private"/>
    <s v="Yes"/>
    <s v="Private"/>
    <s v="Active Programme"/>
    <n v="2013"/>
    <n v="2021"/>
    <n v="1442.56"/>
    <m/>
    <m/>
    <n v="185.7"/>
    <n v="178.22"/>
    <n v="176.98"/>
    <n v="723.78"/>
    <n v="177.88"/>
    <s v="Estimated"/>
    <s v="Constant"/>
    <s v="2009/10"/>
    <s v="https://www.ofgem.gov.uk/network-regulation-%e2%80%93-riio-model/riio-gd1-price-control"/>
    <s v="Ofgem"/>
    <s v="Note: these figures are based on a simplifying assumption that 75% of iron mains replacement expenditure constitutes capex, reflecting Ofgem's policy of transitioning from 50% capitalisation in GDPCR to 100% capitalisation by the end of RIIO-GD1 for this type of expenditure"/>
    <m/>
    <n v="0"/>
    <n v="198.37412269925542"/>
    <n v="190.3836087639273"/>
    <n v="189.05897811154671"/>
    <n v="773.17836579034508"/>
    <n v="190.02040358504877"/>
    <n v="577.81670957472943"/>
    <n v="963.19876937539379"/>
    <n v="1541.0154789501232"/>
  </r>
  <r>
    <x v="1"/>
    <s v="Gas Distribution"/>
    <s v="Gas Distribution"/>
    <s v="Wales &amp; West Utilities - RIIO-GD1"/>
    <m/>
    <m/>
    <s v="WWU"/>
    <s v="Wales"/>
    <s v="Private"/>
    <s v="Yes"/>
    <s v="Private"/>
    <s v="Active Programme"/>
    <n v="2013"/>
    <n v="2021"/>
    <n v="849.13"/>
    <m/>
    <m/>
    <n v="108.34"/>
    <n v="107.59"/>
    <n v="106.45"/>
    <n v="421.62"/>
    <n v="105.13"/>
    <s v="Estimated"/>
    <s v="Constant"/>
    <s v="2009/10"/>
    <s v="https://www.ofgem.gov.uk/network-regulation-%e2%80%93-riio-model/riio-gd1-price-control"/>
    <s v="Ofgem"/>
    <s v="Note: these figures are based on a simplifying assumption that 75% of iron mains replacement expenditure constitutes capex, reflecting Ofgem's policy of transitioning from 50% capitalisation in GDPCR to 100% capitalisation by the end of RIIO-GD1 for this type of expenditure"/>
    <m/>
    <n v="0"/>
    <n v="115.73426199912403"/>
    <n v="114.93307410453899"/>
    <n v="113.71526850476974"/>
    <n v="450.39578681992498"/>
    <n v="112.30517781030007"/>
    <n v="344.38260460843276"/>
    <n v="562.70096463022503"/>
    <n v="907.08356923865779"/>
  </r>
  <r>
    <x v="1"/>
    <s v="Gas Importation"/>
    <s v="Gas Importation"/>
    <m/>
    <m/>
    <s v="Amlych LNG"/>
    <s v="New LNG import terminal"/>
    <s v="Wales"/>
    <s v="Private"/>
    <s v="No"/>
    <s v="Private"/>
    <s v="Consents Approved"/>
    <s v="TBC"/>
    <s v="TBC"/>
    <m/>
    <m/>
    <m/>
    <m/>
    <m/>
    <m/>
    <m/>
    <m/>
    <s v="Estimated"/>
    <m/>
    <m/>
    <s v="https://www.gov.uk/government/organisations/department-of-energy-climate-change"/>
    <s v="DECC"/>
    <m/>
    <m/>
    <n v="0"/>
    <n v="0"/>
    <n v="0"/>
    <n v="0"/>
    <n v="0"/>
    <n v="0"/>
    <n v="0"/>
    <n v="0"/>
    <n v="0"/>
  </r>
  <r>
    <x v="1"/>
    <s v="Gas Importation"/>
    <s v="Gas Importation"/>
    <m/>
    <m/>
    <s v="Dragon LNG Phase 2"/>
    <s v="Expansion of LNG importation capacity at existing LNG terminal"/>
    <s v="Wales"/>
    <s v="Private"/>
    <s v="No"/>
    <s v="Private"/>
    <s v="Consents Approved"/>
    <s v="TBC"/>
    <s v="TBC"/>
    <m/>
    <m/>
    <m/>
    <m/>
    <m/>
    <m/>
    <m/>
    <m/>
    <s v="Estimated"/>
    <m/>
    <m/>
    <s v="https://www.gov.uk/government/organisations/department-of-energy-climate-change"/>
    <s v="DECC"/>
    <m/>
    <m/>
    <n v="0"/>
    <n v="0"/>
    <n v="0"/>
    <n v="0"/>
    <n v="0"/>
    <n v="0"/>
    <n v="0"/>
    <n v="0"/>
    <n v="0"/>
  </r>
  <r>
    <x v="1"/>
    <s v="Gas Importation"/>
    <s v="Gas Importation"/>
    <m/>
    <m/>
    <s v="Isle of Grain LNG Phase 4"/>
    <s v="Expansion of LNG importation capacity at existing LNG terminal"/>
    <s v="South East"/>
    <s v="Private"/>
    <s v="No"/>
    <s v="Private"/>
    <s v="Scoping"/>
    <s v="TBC"/>
    <s v="TBC"/>
    <m/>
    <m/>
    <m/>
    <m/>
    <m/>
    <m/>
    <m/>
    <m/>
    <s v="Estimated"/>
    <m/>
    <m/>
    <s v="https://www.gov.uk/government/organisations/department-of-energy-climate-change"/>
    <s v="DECC"/>
    <m/>
    <m/>
    <n v="0"/>
    <n v="0"/>
    <n v="0"/>
    <n v="0"/>
    <n v="0"/>
    <n v="0"/>
    <n v="0"/>
    <n v="0"/>
    <n v="0"/>
  </r>
  <r>
    <x v="1"/>
    <s v="Gas Importation"/>
    <s v="Gas Importation"/>
    <m/>
    <m/>
    <s v="Norsea LNG"/>
    <s v="New LNG import terminal"/>
    <s v="North East"/>
    <s v="Private"/>
    <s v="No"/>
    <s v="Private"/>
    <s v="Consents Approved"/>
    <s v="TBC"/>
    <n v="2016"/>
    <m/>
    <m/>
    <m/>
    <m/>
    <m/>
    <m/>
    <m/>
    <m/>
    <s v="Estimated"/>
    <m/>
    <m/>
    <s v="https://www.gov.uk/government/organisations/department-of-energy-climate-change"/>
    <s v="DECC"/>
    <m/>
    <m/>
    <n v="0"/>
    <n v="0"/>
    <n v="0"/>
    <n v="0"/>
    <n v="0"/>
    <n v="0"/>
    <n v="0"/>
    <n v="0"/>
    <n v="0"/>
  </r>
  <r>
    <x v="1"/>
    <s v="Gas Importation"/>
    <s v="Gas Importation"/>
    <m/>
    <m/>
    <s v="Port Meridian LNG"/>
    <s v="New LNG import terminal"/>
    <s v="North West"/>
    <s v="Private"/>
    <s v="No"/>
    <s v="Private"/>
    <s v="Consents Approved"/>
    <s v="TBC"/>
    <s v="TBC"/>
    <m/>
    <m/>
    <m/>
    <m/>
    <m/>
    <m/>
    <m/>
    <m/>
    <s v="Estimated"/>
    <m/>
    <m/>
    <s v="https://www.gov.uk/government/organisations/department-of-energy-climate-change"/>
    <s v="DECC"/>
    <m/>
    <m/>
    <n v="0"/>
    <n v="0"/>
    <n v="0"/>
    <n v="0"/>
    <n v="0"/>
    <n v="0"/>
    <n v="0"/>
    <n v="0"/>
    <n v="0"/>
  </r>
  <r>
    <x v="1"/>
    <s v="Gas storage"/>
    <s v="Gas storage"/>
    <m/>
    <m/>
    <s v="Aldbrough II"/>
    <s v="Gas storage"/>
    <s v="Yorkshire &amp; the Humber"/>
    <s v="Private"/>
    <s v="No"/>
    <s v="Private"/>
    <s v="Consents Approved"/>
    <s v="TBC"/>
    <s v="TBC"/>
    <s v=""/>
    <m/>
    <m/>
    <m/>
    <m/>
    <m/>
    <m/>
    <m/>
    <s v="Estimated"/>
    <s v="Nominal"/>
    <m/>
    <s v="https://www.gov.uk/government/organisations/department-of-energy-climate-change"/>
    <s v="DECC"/>
    <s v="Installed capacity  0.35 bcm "/>
    <m/>
    <n v="0"/>
    <n v="0"/>
    <n v="0"/>
    <n v="0"/>
    <n v="0"/>
    <n v="0"/>
    <n v="0"/>
    <n v="0"/>
    <n v="0"/>
  </r>
  <r>
    <x v="1"/>
    <s v="Gas storage"/>
    <s v="Gas storage"/>
    <m/>
    <m/>
    <s v="Caythorpe"/>
    <s v="Gas storage"/>
    <s v="Yorkshire &amp; the Humber"/>
    <s v="Private"/>
    <s v="No"/>
    <s v="Private"/>
    <s v="Consents Approved"/>
    <s v="TBC"/>
    <s v="TBC"/>
    <s v=""/>
    <m/>
    <m/>
    <m/>
    <m/>
    <m/>
    <m/>
    <m/>
    <s v="Estimated"/>
    <s v="Nominal"/>
    <m/>
    <s v="https://www.gov.uk/government/organisations/department-of-energy-climate-change"/>
    <s v="DECC"/>
    <s v="Installed capacity  0.2 bcm "/>
    <m/>
    <n v="0"/>
    <n v="0"/>
    <n v="0"/>
    <n v="0"/>
    <n v="0"/>
    <n v="0"/>
    <n v="0"/>
    <n v="0"/>
    <n v="0"/>
  </r>
  <r>
    <x v="1"/>
    <s v="Gas storage"/>
    <s v="Gas storage"/>
    <m/>
    <m/>
    <s v="Deborah"/>
    <s v="Gas storage"/>
    <s v="Offshore"/>
    <s v="Private"/>
    <s v="No"/>
    <s v="Private"/>
    <s v="Consents Approved"/>
    <s v="TBC"/>
    <s v="TBC"/>
    <s v=""/>
    <m/>
    <m/>
    <m/>
    <m/>
    <m/>
    <m/>
    <m/>
    <s v="Estimated"/>
    <s v="Nominal"/>
    <m/>
    <s v="https://www.gov.uk/government/organisations/department-of-energy-climate-change"/>
    <s v="DECC"/>
    <s v="Installed capacity 4.6 bcm"/>
    <m/>
    <n v="0"/>
    <n v="0"/>
    <n v="0"/>
    <n v="0"/>
    <n v="0"/>
    <n v="0"/>
    <n v="0"/>
    <n v="0"/>
    <n v="0"/>
  </r>
  <r>
    <x v="1"/>
    <s v="Gas storage"/>
    <s v="Gas storage"/>
    <m/>
    <m/>
    <s v="Esmond Gordon"/>
    <s v="Gas storage"/>
    <s v="Offshore"/>
    <s v="Private"/>
    <s v="No"/>
    <s v="Private"/>
    <s v="Scoping"/>
    <s v="TBC"/>
    <s v="TBC"/>
    <s v=""/>
    <m/>
    <m/>
    <m/>
    <m/>
    <m/>
    <m/>
    <m/>
    <s v="Estimated"/>
    <s v="Nominal"/>
    <m/>
    <s v="https://www.gov.uk/government/organisations/department-of-energy-climate-change"/>
    <s v="DECC"/>
    <s v="Installed capacity 3.4 bcm"/>
    <m/>
    <n v="0"/>
    <n v="0"/>
    <n v="0"/>
    <n v="0"/>
    <n v="0"/>
    <n v="0"/>
    <n v="0"/>
    <n v="0"/>
    <n v="0"/>
  </r>
  <r>
    <x v="1"/>
    <s v="Gas storage"/>
    <s v="Gas storage"/>
    <m/>
    <m/>
    <s v="Gateway Storage"/>
    <s v="Gas storage"/>
    <s v="Offshore"/>
    <s v="Private"/>
    <s v="No"/>
    <s v="Private"/>
    <s v="Consents Approved"/>
    <s v="TBC"/>
    <s v="TBC"/>
    <s v=""/>
    <m/>
    <m/>
    <m/>
    <m/>
    <m/>
    <m/>
    <m/>
    <s v="Estimated"/>
    <s v="Nominal"/>
    <m/>
    <s v="https://www.gov.uk/government/organisations/department-of-energy-climate-change"/>
    <s v="DECC"/>
    <s v="Installed capacity  1.5 bcm "/>
    <m/>
    <n v="0"/>
    <n v="0"/>
    <n v="0"/>
    <n v="0"/>
    <n v="0"/>
    <n v="0"/>
    <n v="0"/>
    <n v="0"/>
    <n v="0"/>
  </r>
  <r>
    <x v="1"/>
    <s v="Gas storage"/>
    <s v="Gas storage"/>
    <m/>
    <m/>
    <s v="Hatfield West"/>
    <s v="Gas storage"/>
    <s v="Yorkshire &amp; the Humber"/>
    <s v="Private"/>
    <s v="No"/>
    <s v="Private"/>
    <s v="Consents Approved"/>
    <s v="TBC"/>
    <s v="TBC"/>
    <s v=""/>
    <m/>
    <m/>
    <m/>
    <m/>
    <m/>
    <m/>
    <m/>
    <s v="Estimated"/>
    <s v="Nominal"/>
    <m/>
    <s v="https://www.gov.uk/government/organisations/department-of-energy-climate-change"/>
    <s v="DECC"/>
    <s v="Installed capacity  0.04 bcm "/>
    <m/>
    <n v="0"/>
    <n v="0"/>
    <n v="0"/>
    <n v="0"/>
    <n v="0"/>
    <n v="0"/>
    <n v="0"/>
    <n v="0"/>
    <n v="0"/>
  </r>
  <r>
    <x v="1"/>
    <s v="Gas storage"/>
    <s v="Gas storage"/>
    <m/>
    <m/>
    <s v="Hill Top Farm"/>
    <s v="Gas storage"/>
    <s v="North West"/>
    <s v="Private"/>
    <s v="No"/>
    <s v="Private"/>
    <s v="In Construction"/>
    <s v="Started"/>
    <n v="2014"/>
    <s v=""/>
    <m/>
    <m/>
    <m/>
    <m/>
    <m/>
    <m/>
    <m/>
    <s v="Estimated"/>
    <s v="Nominal"/>
    <m/>
    <s v="https://www.gov.uk/government/organisations/department-of-energy-climate-change"/>
    <s v="DECC"/>
    <s v="Installed capacity 0.1 bcm"/>
    <m/>
    <n v="0"/>
    <n v="0"/>
    <n v="0"/>
    <n v="0"/>
    <n v="0"/>
    <n v="0"/>
    <n v="0"/>
    <n v="0"/>
    <n v="0"/>
  </r>
  <r>
    <x v="1"/>
    <s v="Gas storage"/>
    <s v="Gas storage"/>
    <m/>
    <m/>
    <s v="Islandmagee"/>
    <s v="Gas storage"/>
    <s v="Northern Ireland"/>
    <s v="Private"/>
    <s v="No"/>
    <s v="Private"/>
    <s v="Consents Approved"/>
    <s v="TBC"/>
    <s v="TBC"/>
    <m/>
    <m/>
    <m/>
    <m/>
    <m/>
    <m/>
    <m/>
    <m/>
    <s v="Estimated"/>
    <s v="Nominal"/>
    <m/>
    <s v="https://www.gov.uk/government/organisations/department-of-energy-climate-change"/>
    <s v="DECC"/>
    <s v="Installed capacity 0.5 bcm."/>
    <m/>
    <n v="0"/>
    <n v="0"/>
    <n v="0"/>
    <n v="0"/>
    <n v="0"/>
    <n v="0"/>
    <n v="0"/>
    <n v="0"/>
    <n v="0"/>
  </r>
  <r>
    <x v="1"/>
    <s v="Gas storage"/>
    <s v="Gas storage"/>
    <m/>
    <m/>
    <s v="King Street"/>
    <s v="Gas storage"/>
    <s v="North West"/>
    <s v="Private"/>
    <s v="No"/>
    <s v="Private"/>
    <s v="Consents Approved"/>
    <s v="TBC"/>
    <s v="TBC"/>
    <s v=""/>
    <m/>
    <m/>
    <m/>
    <m/>
    <m/>
    <m/>
    <m/>
    <s v="Estimated"/>
    <s v="Nominal"/>
    <m/>
    <s v="https://www.gov.uk/government/organisations/department-of-energy-climate-change"/>
    <s v="DECC"/>
    <s v="Installed capacity  0.2 bcm "/>
    <m/>
    <n v="0"/>
    <n v="0"/>
    <n v="0"/>
    <n v="0"/>
    <n v="0"/>
    <n v="0"/>
    <n v="0"/>
    <n v="0"/>
    <n v="0"/>
  </r>
  <r>
    <x v="1"/>
    <s v="Gas storage"/>
    <s v="Gas storage"/>
    <m/>
    <m/>
    <s v="Portland"/>
    <s v="Gas storage"/>
    <s v="South West"/>
    <s v="Private"/>
    <s v="No"/>
    <s v="Private"/>
    <s v="Consents Approved"/>
    <s v="TBC"/>
    <s v="TBC"/>
    <s v=""/>
    <m/>
    <m/>
    <m/>
    <m/>
    <m/>
    <m/>
    <m/>
    <s v="Estimated"/>
    <s v="Nominal"/>
    <m/>
    <s v="https://www.gov.uk/government/organisations/department-of-energy-climate-change"/>
    <s v="DECC"/>
    <s v="Installed capacity  1 bcm "/>
    <m/>
    <n v="0"/>
    <n v="0"/>
    <n v="0"/>
    <n v="0"/>
    <n v="0"/>
    <n v="0"/>
    <n v="0"/>
    <n v="0"/>
    <n v="0"/>
  </r>
  <r>
    <x v="1"/>
    <s v="Gas storage"/>
    <s v="Gas storage"/>
    <m/>
    <m/>
    <s v="Preesall"/>
    <s v="Gas storage"/>
    <s v="North West"/>
    <s v="Private"/>
    <s v="No"/>
    <s v="Private"/>
    <s v="Planning &amp; Consents"/>
    <s v="TBC"/>
    <s v="TBC"/>
    <s v=""/>
    <m/>
    <m/>
    <m/>
    <m/>
    <m/>
    <m/>
    <m/>
    <s v="Estimated"/>
    <s v="Nominal"/>
    <m/>
    <s v="https://www.gov.uk/government/organisations/department-of-energy-climate-change"/>
    <s v="DECC"/>
    <s v="Installed capacity 0.5 bcm. Awaiting consents - rejected by SoS April 2013."/>
    <m/>
    <n v="0"/>
    <n v="0"/>
    <n v="0"/>
    <n v="0"/>
    <n v="0"/>
    <n v="0"/>
    <n v="0"/>
    <n v="0"/>
    <n v="0"/>
  </r>
  <r>
    <x v="1"/>
    <s v="Gas storage"/>
    <s v="Gas storage"/>
    <m/>
    <m/>
    <s v="Saltfleetby"/>
    <s v="Gas storage"/>
    <s v="East Midlands"/>
    <s v="Private"/>
    <s v="No"/>
    <s v="Private"/>
    <s v="Consents Approved"/>
    <s v="TBC"/>
    <s v="TBC"/>
    <s v=""/>
    <m/>
    <m/>
    <m/>
    <m/>
    <m/>
    <m/>
    <m/>
    <s v="Estimated"/>
    <s v="Nominal"/>
    <m/>
    <s v="https://www.gov.uk/government/organisations/department-of-energy-climate-change"/>
    <s v="DECC"/>
    <s v="Installed capacity  0.7 bcm "/>
    <m/>
    <n v="0"/>
    <n v="0"/>
    <n v="0"/>
    <n v="0"/>
    <n v="0"/>
    <n v="0"/>
    <n v="0"/>
    <n v="0"/>
    <n v="0"/>
  </r>
  <r>
    <x v="1"/>
    <s v="Gas storage"/>
    <s v="Gas storage"/>
    <m/>
    <m/>
    <s v="Stublach"/>
    <s v="Gas storage"/>
    <s v="North West"/>
    <s v="Private"/>
    <s v="No"/>
    <s v="Private"/>
    <s v="In Construction"/>
    <s v="Started"/>
    <n v="2014"/>
    <s v=""/>
    <m/>
    <m/>
    <m/>
    <m/>
    <m/>
    <m/>
    <m/>
    <s v="Estimated"/>
    <s v="Nominal"/>
    <m/>
    <s v="https://www.gov.uk/government/organisations/department-of-energy-climate-change"/>
    <s v="DECC"/>
    <s v="Installed capacity 0.4 bcm"/>
    <m/>
    <n v="0"/>
    <n v="0"/>
    <n v="0"/>
    <n v="0"/>
    <n v="0"/>
    <n v="0"/>
    <n v="0"/>
    <n v="0"/>
    <n v="0"/>
  </r>
  <r>
    <x v="1"/>
    <s v="Gas storage"/>
    <s v="Gas storage"/>
    <m/>
    <m/>
    <s v="White Hill Farm"/>
    <s v="Gas storage"/>
    <s v="Yorkshire &amp; the Humber"/>
    <s v="Private"/>
    <s v="No"/>
    <s v="Private"/>
    <s v="Consents Approved"/>
    <s v="TBC"/>
    <s v="TBC"/>
    <s v=""/>
    <m/>
    <m/>
    <m/>
    <m/>
    <m/>
    <m/>
    <m/>
    <s v="Estimated"/>
    <s v="Nominal"/>
    <m/>
    <s v="https://www.gov.uk/government/organisations/department-of-energy-climate-change"/>
    <s v="DECC"/>
    <s v="Installed capacity  0.4 bcm "/>
    <m/>
    <n v="0"/>
    <n v="0"/>
    <n v="0"/>
    <n v="0"/>
    <n v="0"/>
    <n v="0"/>
    <n v="0"/>
    <n v="0"/>
    <n v="0"/>
  </r>
  <r>
    <x v="1"/>
    <s v="Gas Transmission"/>
    <s v="Gas Transmission"/>
    <s v="Incremental Capacity - Potential load related projects (customer signal dependent)"/>
    <m/>
    <m/>
    <s v="To extend or reinforce the NTS, driven by customer requests for new connections or increased entry or exit capacity.  In most cases, load related investment is underpinned by a signal for incremental capacity above the prevailing obligated level  and an associated revenue driver having been agreed with Ofgem where necessary.  "/>
    <s v="UK"/>
    <s v="Private"/>
    <s v="Yes"/>
    <s v="Private"/>
    <s v="Active Programme"/>
    <s v="Started"/>
    <s v="TBC"/>
    <n v="364"/>
    <m/>
    <m/>
    <m/>
    <n v="8"/>
    <n v="24"/>
    <n v="304"/>
    <n v="28"/>
    <s v="Estimated"/>
    <s v="Constant"/>
    <s v="2009/10"/>
    <s v="http://www2.nationalgrid.com/"/>
    <s v="National Grid"/>
    <m/>
    <m/>
    <n v="0"/>
    <n v="0"/>
    <n v="8.5460042089070729"/>
    <n v="25.638012626721217"/>
    <n v="324.74815993846875"/>
    <n v="29.911014731174753"/>
    <n v="34.184016835628292"/>
    <n v="354.65917466964351"/>
    <n v="388.84319150527182"/>
  </r>
  <r>
    <x v="1"/>
    <s v="Gas Transmission"/>
    <s v="Gas Transmission"/>
    <s v="Industrial Emissions Directive (IED) - needs case dependent (interpretation of legislation)."/>
    <m/>
    <m/>
    <s v="EU Directive came into force 6th January 2011, will be transposed into UK law by the 6th January 2013 and will set out the minimum standards the UK must adopt. _x000a__x000a_Our operated Large Combustion Plant (LCP) has previously been exempt from the Large Combustion Plant Directive (LCPD) Emission Limit Values (ELVs) for NOx by virtue of its age, however, the introduction of the IED is now removing this age related exemption and the ELV for NOx will now apply to all National Grid compressors (&gt;50 MW rated thermal input).  Furthermore, the previous LCPD did not include an ELV for CO which is also being introduced under IED."/>
    <s v="UK"/>
    <s v="Private"/>
    <s v="Yes"/>
    <s v="Private"/>
    <s v="Active Programme"/>
    <s v="Started"/>
    <s v="TBC"/>
    <s v="£290m"/>
    <m/>
    <n v="1.6"/>
    <n v="3.7"/>
    <n v="7.4"/>
    <n v="9.1"/>
    <n v="274.8"/>
    <m/>
    <s v="Estimated"/>
    <s v="Constant"/>
    <s v="2009/10"/>
    <s v="http://www2.nationalgrid.com/"/>
    <s v="National Grid"/>
    <m/>
    <m/>
    <n v="1.7092008417814144"/>
    <n v="3.9525269466195212"/>
    <n v="7.9050538932390424"/>
    <n v="9.7210797876317958"/>
    <n v="293.55524457595794"/>
    <n v="0"/>
    <n v="23.287861469271775"/>
    <n v="293.55524457595794"/>
    <n v="315.13390520344831"/>
  </r>
  <r>
    <x v="1"/>
    <s v="Gas Transmission"/>
    <s v="Gas Transmission"/>
    <s v="Integrated Pollution Prevention &amp; Control (IPPC) - Phases 1 &amp; 2 (St Fergus, Kirriemuir, Hatton) "/>
    <m/>
    <m/>
    <s v="Primary legislation driving emissions reduction investment - currently implemented in the UK through the Environment Permitting Regulations (2010) enforced in England and Wales by the Environment Agency (EA), and the Pollution Prevention and Control Regulations (2000) enforced in Scotland by the Scottish Environment Protection Agency (SEPA).  The strategy involves reviewing our compressor units as a fleet rather than a set of individual installations, prioritising sites where significant environmental improvements may be gained at the lowest possible cost.  This allows us to target sites currently operating high NOx emitting compression technologies or with high forecast utilisation.  "/>
    <s v="UK"/>
    <s v="Private"/>
    <s v="Yes"/>
    <s v="Private"/>
    <s v="Active Programme"/>
    <s v="Started"/>
    <n v="2014"/>
    <n v="155"/>
    <m/>
    <n v="39"/>
    <n v="18"/>
    <n v="5"/>
    <n v="7"/>
    <n v="125"/>
    <m/>
    <s v="Tendered"/>
    <s v="Constant"/>
    <s v="2009/10"/>
    <s v="http://www2.nationalgrid.com/"/>
    <s v="National Grid"/>
    <m/>
    <m/>
    <n v="41.661770518421982"/>
    <n v="19.228509470040912"/>
    <n v="5.3412526305669203"/>
    <n v="7.4777536827936881"/>
    <n v="133.531315764173"/>
    <n v="0"/>
    <n v="73.709286301823511"/>
    <n v="133.531315764173"/>
    <n v="165.57883154757454"/>
  </r>
  <r>
    <x v="1"/>
    <s v="Gas Transmission"/>
    <s v="Gas Transmission"/>
    <s v="IPPC  Phase 3 (Peterborough &amp; Huntingdon)"/>
    <m/>
    <m/>
    <s v="Primary legislation driving emissions reduction investment - currently implemented in the UK through the Environment Permitting Regulations (2010) enforced in England and Wales by the Environment Agency (EA), and the Pollution Prevention and Control Regulations (2000) enforced in Scotland by the Scottish Environment Protection Agency (SEPA).  The strategy involves reviewing our compressor units as a fleet rather than a set of individual installations, prioritising sites where significant environmental improvements may be gained at the lowest possible cost.  This allows us to target sites currently operating high NOx emitting compression technologies or with high forecast utilisation.  "/>
    <s v="UK"/>
    <s v="Private"/>
    <s v="Yes"/>
    <s v="Private"/>
    <s v="Scoping"/>
    <n v="2015"/>
    <n v="2019"/>
    <n v="115"/>
    <m/>
    <m/>
    <m/>
    <m/>
    <m/>
    <n v="115"/>
    <m/>
    <s v="Estimated"/>
    <s v="Constant"/>
    <s v="2009/10"/>
    <s v="http://www2.nationalgrid.com/"/>
    <s v="National Grid"/>
    <m/>
    <m/>
    <n v="0"/>
    <n v="0"/>
    <n v="0"/>
    <n v="0"/>
    <n v="122.84881050303916"/>
    <n v="0"/>
    <n v="0"/>
    <n v="122.84881050303916"/>
    <n v="122.84881050303916"/>
  </r>
  <r>
    <x v="1"/>
    <s v="Gas Transmission"/>
    <s v="Gas Transmission"/>
    <s v="IPPC Phase 4 (3 sites - TBC based on anticipated utilisation)"/>
    <m/>
    <m/>
    <s v="Primary legislation driving emissions reduction investment - currently implemented in the UK through the Environment Permitting Regulations (2010) enforced in England and Wales by the Environment Agency (EA), and the Pollution Prevention and Control Regulations (2000) enforced in Scotland by the Scottish Environment Protection Agency (SEPA).  The strategy involves reviewing our compressor units as a fleet rather than a set of individual installations, prioritising sites where significant environmental improvements may be gained at the lowest possible cost.  This allows us to target sites currently operating high NOx emitting compression technologies or with high forecast utilisation.  "/>
    <s v="UK"/>
    <s v="Private"/>
    <s v="Yes"/>
    <s v="Private"/>
    <s v="Scoping"/>
    <s v="TBC"/>
    <n v="2023"/>
    <m/>
    <m/>
    <m/>
    <m/>
    <m/>
    <m/>
    <m/>
    <m/>
    <s v="Estimated"/>
    <s v="Constant"/>
    <s v="2009/10"/>
    <s v="http://www2.nationalgrid.com/"/>
    <s v="National Grid"/>
    <m/>
    <m/>
    <n v="0"/>
    <n v="0"/>
    <n v="0"/>
    <n v="0"/>
    <n v="0"/>
    <n v="0"/>
    <n v="0"/>
    <n v="0"/>
    <n v="0"/>
  </r>
  <r>
    <x v="1"/>
    <s v="NG CNI"/>
    <s v="NG CNI"/>
    <s v="Physical Security (CNI Projects)"/>
    <m/>
    <m/>
    <s v="Investment to increase the physical security of critical sites."/>
    <s v="UK"/>
    <s v="Private"/>
    <s v="Yes"/>
    <s v="Private"/>
    <s v="Active Programme"/>
    <s v="TBC"/>
    <s v="TBC"/>
    <n v="543.66"/>
    <m/>
    <n v="37"/>
    <n v="4"/>
    <n v="15"/>
    <n v="19"/>
    <m/>
    <m/>
    <s v="Estimated"/>
    <s v="Constant"/>
    <s v="2009/10"/>
    <s v="http://www2.nationalgrid.com/"/>
    <s v="National Grid Gas Distribution Network Innovation and Investment Team.  "/>
    <s v="Procurement (Other) - Mainly subcontracted. This programme operates under the uncertainty mechanism."/>
    <m/>
    <n v="39.525269466195212"/>
    <n v="4.2730021044535365"/>
    <n v="16.023757891700761"/>
    <n v="20.296759996154297"/>
    <n v="0"/>
    <n v="0"/>
    <n v="80.118789458503812"/>
    <n v="0"/>
    <n v="40.5935199923086"/>
  </r>
  <r>
    <x v="1"/>
    <s v="Nuclear Decommissioning"/>
    <s v="Decommissioning"/>
    <m/>
    <m/>
    <s v="Safestore cladding"/>
    <s v="Bradwell"/>
    <s v="East of England"/>
    <s v="Public"/>
    <s v="No"/>
    <s v="Public"/>
    <s v="In Construction"/>
    <s v="Started"/>
    <n v="2015"/>
    <n v="33.700000000000003"/>
    <m/>
    <n v="5.5"/>
    <n v="13.5"/>
    <n v="11.5"/>
    <n v="2"/>
    <m/>
    <m/>
    <s v="Estimated"/>
    <s v="Nominal"/>
    <m/>
    <s v="www.magnoxsites.co.uk"/>
    <s v="NDA New Construction subcontractor cost estimates extracted from SLC plans"/>
    <s v="See additional notes tab."/>
    <m/>
    <n v="5.5"/>
    <n v="13.196480938416423"/>
    <n v="11.031841732402055"/>
    <n v="1.8846573387549421"/>
    <n v="0"/>
    <n v="0"/>
    <n v="31.61298000957342"/>
    <n v="0"/>
    <n v="26.11298000957342"/>
  </r>
  <r>
    <x v="1"/>
    <s v="Nuclear Decommissioning"/>
    <s v="Geological Disposal Facility"/>
    <m/>
    <m/>
    <s v="Disposal facility for UK legacy radioactive waste"/>
    <s v="Waste Management"/>
    <s v="UK"/>
    <s v="Public"/>
    <s v="No"/>
    <s v="Public"/>
    <s v="Scoping"/>
    <n v="2030"/>
    <n v="2040"/>
    <n v="11002"/>
    <m/>
    <n v="19.7"/>
    <n v="23.8"/>
    <n v="24.8"/>
    <n v="23.9"/>
    <n v="213"/>
    <n v="10696"/>
    <s v="Estimated"/>
    <s v="Nominal"/>
    <m/>
    <s v="www.nda.gov.uk"/>
    <s v="NDA ARAC"/>
    <s v="The values from 2012/13 onwards represent NDA's &quot;current best estimate&quot;, which is based on their reference case programme and the inventory scenario used as the basis for the NDA's ARAC. The values do not include any contingency and are at 2013 money values.  All costs are assumed to be capex."/>
    <m/>
    <n v="19.7"/>
    <n v="23.264907135874878"/>
    <n v="23.790406518571388"/>
    <n v="22.521655198121557"/>
    <n v="197.36087175752346"/>
    <n v="9182.932191219481"/>
    <n v="89.276968852567819"/>
    <n v="9380.2930629770053"/>
    <n v="9449.8700318295723"/>
  </r>
  <r>
    <x v="1"/>
    <s v="Nuclear Decommissioning"/>
    <s v="Infrastructure"/>
    <m/>
    <m/>
    <s v="Replacement Decontamination Facility"/>
    <s v="Sellafield"/>
    <s v="North West"/>
    <s v="Public"/>
    <s v="No"/>
    <s v="Public"/>
    <s v="Scoping"/>
    <n v="2019"/>
    <n v="2023"/>
    <n v="34"/>
    <s v=" "/>
    <m/>
    <m/>
    <m/>
    <m/>
    <n v="12.25"/>
    <n v="22"/>
    <s v="Estimated"/>
    <s v="Nominal"/>
    <m/>
    <s v="www.sellafieldsites.com"/>
    <s v="NDA New Construction subcontractor cost estimates extracted from SLC plans"/>
    <s v="See additional notes tab."/>
    <m/>
    <n v="0"/>
    <n v="0"/>
    <n v="0"/>
    <n v="0"/>
    <n v="11.350566568214377"/>
    <n v="18.887856040279409"/>
    <n v="0"/>
    <n v="30.238422608493785"/>
    <n v="30.238422608493785"/>
  </r>
  <r>
    <x v="1"/>
    <s v="Nuclear Decommissioning"/>
    <s v="Infrastructure"/>
    <m/>
    <m/>
    <s v="Separation Area Ventilation"/>
    <s v="Sellafield"/>
    <s v="North West"/>
    <s v="Public"/>
    <s v="No"/>
    <s v="Public"/>
    <s v="In Construction"/>
    <s v="Started"/>
    <n v="2015"/>
    <n v="47"/>
    <m/>
    <n v="26"/>
    <n v="3.5"/>
    <n v="1"/>
    <n v="0.1"/>
    <m/>
    <m/>
    <s v="Estimated"/>
    <s v="Nominal"/>
    <m/>
    <s v="www.sellafieldsites.com"/>
    <s v="NDA New Construction subcontractor cost estimates extracted from SLC plans"/>
    <s v="See additional notes tab."/>
    <m/>
    <n v="26"/>
    <n v="3.4213098729227762"/>
    <n v="0.95929058542626566"/>
    <n v="9.4232866937747101E-2"/>
    <n v="0"/>
    <n v="0"/>
    <n v="30.474833325286792"/>
    <n v="0"/>
    <n v="4.4748333252867916"/>
  </r>
  <r>
    <x v="1"/>
    <s v="Nuclear Decommissioning"/>
    <s v="Infrastructure"/>
    <m/>
    <m/>
    <s v="Site Security"/>
    <s v="Sellafield"/>
    <s v="North West"/>
    <s v="Public"/>
    <s v="No"/>
    <s v="Public"/>
    <s v="In Construction"/>
    <s v="Started"/>
    <s v="various"/>
    <n v="240"/>
    <m/>
    <n v="25.5"/>
    <n v="92.5"/>
    <n v="73"/>
    <n v="22"/>
    <m/>
    <m/>
    <s v="Estimated"/>
    <s v="Nominal"/>
    <m/>
    <s v="www.sellafieldsites.com"/>
    <s v="NDA New Construction subcontractor cost estimates extracted from SLC plans"/>
    <s v="See additional notes tab."/>
    <m/>
    <n v="25.5"/>
    <n v="90.420332355816228"/>
    <n v="70.028212736117396"/>
    <n v="20.731230726304361"/>
    <n v="0"/>
    <n v="0"/>
    <n v="206.679775818238"/>
    <n v="0"/>
    <n v="181.179775818238"/>
  </r>
  <r>
    <x v="1"/>
    <s v="Nuclear Decommissioning"/>
    <s v="Infrastructure"/>
    <m/>
    <m/>
    <s v="Electricity Supply Services"/>
    <s v="Sellafield"/>
    <s v="North West"/>
    <s v="Public"/>
    <s v="No"/>
    <s v="Public"/>
    <s v="In Construction"/>
    <s v="Started"/>
    <n v="2016"/>
    <n v="57.25"/>
    <m/>
    <n v="7.5"/>
    <n v="1.5"/>
    <n v="22.5"/>
    <n v="6"/>
    <n v="7.2"/>
    <n v="12.2"/>
    <s v="Estimated"/>
    <s v="Nominal"/>
    <m/>
    <s v="www.sellafieldsites.com"/>
    <s v="NDA New Construction subcontractor cost estimates extracted from SLC plans"/>
    <s v="See additional notes tab."/>
    <m/>
    <n v="7.5"/>
    <n v="1.466275659824047"/>
    <n v="21.584038172090978"/>
    <n v="5.6539720162648264"/>
    <n v="6.6713534115219195"/>
    <n v="10.474174713245855"/>
    <n v="36.20428584817985"/>
    <n v="17.145528124767775"/>
    <n v="45.849813972947629"/>
  </r>
  <r>
    <x v="1"/>
    <s v="Nuclear Decommissioning"/>
    <s v="Operations"/>
    <m/>
    <m/>
    <s v="Magnox PU Storage"/>
    <s v="Sellafield"/>
    <s v="North West"/>
    <s v="Public"/>
    <s v="No"/>
    <s v="Public"/>
    <s v="In Construction"/>
    <n v="2015"/>
    <n v="2022"/>
    <n v="25"/>
    <m/>
    <n v="1.5"/>
    <n v="1.5"/>
    <n v="5.25"/>
    <n v="4.5"/>
    <n v="12.5"/>
    <n v="0.3"/>
    <s v="Estimated"/>
    <s v="Nominal"/>
    <m/>
    <s v="www.sellafieldsites.com"/>
    <s v="NDA New Construction subcontractor cost estimates extracted from SLC plans"/>
    <s v="See additional notes tab."/>
    <m/>
    <n v="1.5"/>
    <n v="1.466275659824047"/>
    <n v="5.0362755734878943"/>
    <n v="4.2404790121986196"/>
    <n v="11.582210783892222"/>
    <n v="0.2575616732765374"/>
    <n v="12.24303024551056"/>
    <n v="11.83977245716876"/>
    <n v="22.58280270267932"/>
  </r>
  <r>
    <x v="1"/>
    <s v="Nuclear Decommissioning"/>
    <s v="Operations"/>
    <m/>
    <m/>
    <s v="SPRS Retreatment Facility"/>
    <s v="Sellafield"/>
    <s v="North West"/>
    <s v="Public"/>
    <s v="No"/>
    <s v="Public"/>
    <s v="In Construction"/>
    <n v="2018"/>
    <n v="2020"/>
    <n v="59.5"/>
    <m/>
    <m/>
    <n v="0.5"/>
    <n v="1"/>
    <n v="1.5"/>
    <n v="26.5"/>
    <n v="30"/>
    <s v="Estimated"/>
    <s v="Nominal"/>
    <m/>
    <s v="www.sellafieldsites.com"/>
    <s v="NDA New Construction subcontractor cost estimates extracted from SLC plans"/>
    <s v="See additional notes tab."/>
    <m/>
    <n v="0"/>
    <n v="0.48875855327468232"/>
    <n v="0.95929058542626566"/>
    <n v="1.4134930040662066"/>
    <n v="24.554286861851509"/>
    <n v="25.756167327653742"/>
    <n v="2.8615421427671546"/>
    <n v="50.310454189505251"/>
    <n v="53.171996332272407"/>
  </r>
  <r>
    <x v="1"/>
    <s v="Nuclear Decommissioning"/>
    <s v="Waste &amp; Materials Management"/>
    <m/>
    <m/>
    <s v="Build ILW ministore enablers &amp; weather protection"/>
    <s v="Berkeley"/>
    <s v="South West"/>
    <s v="Public"/>
    <s v="No"/>
    <s v="Public"/>
    <s v="In Construction"/>
    <s v="Started"/>
    <n v="2014"/>
    <n v="31"/>
    <m/>
    <n v="9"/>
    <n v="7.5"/>
    <n v="0.5"/>
    <n v="1.5"/>
    <m/>
    <m/>
    <s v="Estimated"/>
    <s v="Nominal"/>
    <m/>
    <s v="www.magnoxsites.co.uk"/>
    <s v="NDA New Construction subcontractor cost estimates extracted from SLC plans"/>
    <s v="See additional notes tab."/>
    <m/>
    <n v="9"/>
    <n v="7.3313782991202352"/>
    <n v="0.47964529271313283"/>
    <n v="1.4134930040662066"/>
    <n v="0"/>
    <n v="0"/>
    <n v="18.224516595899576"/>
    <n v="0"/>
    <n v="9.2245165958995763"/>
  </r>
  <r>
    <x v="1"/>
    <s v="Nuclear Decommissioning"/>
    <s v="Waste &amp; Materials Management"/>
    <m/>
    <m/>
    <s v="Build solid ILW retrieval faciltiy"/>
    <s v="Berkeley"/>
    <s v="South West"/>
    <s v="Public"/>
    <s v="No"/>
    <s v="Public"/>
    <s v="In Construction"/>
    <s v="Started"/>
    <s v="TBC"/>
    <n v="64"/>
    <m/>
    <n v="11"/>
    <n v="19"/>
    <n v="21.5"/>
    <n v="7"/>
    <n v="0.5"/>
    <m/>
    <s v="Estimated"/>
    <s v="Nominal"/>
    <m/>
    <s v="www.magnoxsites.co.uk"/>
    <s v="NDA New Construction subcontractor cost estimates extracted from SLC plans"/>
    <s v="See additional notes tab."/>
    <m/>
    <n v="11"/>
    <n v="18.572825024437929"/>
    <n v="20.624747586664711"/>
    <n v="6.596300685642297"/>
    <n v="0.46328843135568887"/>
    <n v="0"/>
    <n v="56.793873296744941"/>
    <n v="0.46328843135568887"/>
    <n v="46.257161728100627"/>
  </r>
  <r>
    <x v="1"/>
    <s v="Nuclear Decommissioning"/>
    <s v="Waste &amp; Materials Management"/>
    <m/>
    <m/>
    <s v="Build (FED) ILW retrieval &amp; processing facility"/>
    <s v="Bradwell"/>
    <s v="East of England"/>
    <s v="Public"/>
    <s v="No"/>
    <s v="Public"/>
    <s v="In Construction"/>
    <s v="Started"/>
    <n v="2014"/>
    <n v="39.4"/>
    <m/>
    <n v="24"/>
    <n v="3"/>
    <m/>
    <m/>
    <m/>
    <m/>
    <s v="Estimated"/>
    <s v="Nominal"/>
    <m/>
    <s v="www.magnoxsites.co.uk"/>
    <s v="NDA New Construction subcontractor cost estimates extracted from SLC plans"/>
    <s v="See additional notes tab."/>
    <m/>
    <n v="24"/>
    <n v="2.9325513196480939"/>
    <n v="0"/>
    <n v="0"/>
    <n v="0"/>
    <n v="0"/>
    <n v="26.932551319648095"/>
    <n v="0"/>
    <n v="2.9325513196480948"/>
  </r>
  <r>
    <x v="1"/>
    <s v="Nuclear Decommissioning"/>
    <s v="Waste &amp; Materials Management"/>
    <m/>
    <m/>
    <s v="Modular Active Effluent Treatment Plant"/>
    <s v="Chapelcross"/>
    <s v="Scotland"/>
    <s v="Public"/>
    <s v="No"/>
    <s v="Public"/>
    <s v="Consents Approved"/>
    <n v="2014"/>
    <n v="2017"/>
    <n v="8.42"/>
    <m/>
    <n v="0.02"/>
    <m/>
    <n v="0.4"/>
    <n v="3"/>
    <n v="5"/>
    <m/>
    <s v="Estimated"/>
    <s v="Nominal"/>
    <m/>
    <s v="www.magnoxsites.co.uk"/>
    <s v="NDA New Construction subcontractor cost estimates extracted from SLC plans"/>
    <s v="See additional notes tab."/>
    <m/>
    <n v="0.02"/>
    <n v="0"/>
    <n v="0.38371623417050627"/>
    <n v="2.8269860081324132"/>
    <n v="4.6328843135568887"/>
    <n v="0"/>
    <n v="3.2307022423029195"/>
    <n v="4.6328843135568887"/>
    <n v="7.8435865558598081"/>
  </r>
  <r>
    <x v="1"/>
    <s v="Nuclear Decommissioning"/>
    <s v="Waste &amp; Materials Management"/>
    <m/>
    <m/>
    <s v="Harwell ILW Store"/>
    <s v="Harwell"/>
    <s v="South East"/>
    <s v="Public"/>
    <s v="No"/>
    <s v="Public"/>
    <s v="Scoping"/>
    <n v="2014"/>
    <n v="2018"/>
    <n v="16"/>
    <m/>
    <n v="0.14000000000000001"/>
    <n v="1"/>
    <n v="2"/>
    <n v="4"/>
    <n v="8.9"/>
    <m/>
    <s v="Estimated"/>
    <s v="Nominal"/>
    <m/>
    <s v="www.research-sites.com"/>
    <s v="NDA New Construction subcontractor cost estimates extracted from SLC plans"/>
    <s v="See additional notes tab."/>
    <m/>
    <n v="0.14000000000000001"/>
    <n v="0.97751710654936463"/>
    <n v="1.9185811708525313"/>
    <n v="3.7693146775098842"/>
    <n v="8.2465340781312619"/>
    <n v="0"/>
    <n v="6.8054129549117803"/>
    <n v="8.2465340781312619"/>
    <n v="14.911947033043042"/>
  </r>
  <r>
    <x v="1"/>
    <s v="Nuclear Decommissioning"/>
    <s v="Waste &amp; Materials Management"/>
    <m/>
    <m/>
    <s v="Build solid (FED) ILW retrieval &amp; processing facility"/>
    <s v="Hinkley Point A"/>
    <s v="South West"/>
    <s v="Public"/>
    <s v="No"/>
    <s v="Public"/>
    <s v="In Construction"/>
    <s v="Started"/>
    <s v="TBC"/>
    <n v="2"/>
    <m/>
    <n v="0.32"/>
    <n v="0.5"/>
    <m/>
    <m/>
    <m/>
    <m/>
    <s v="Estimated"/>
    <s v="Nominal"/>
    <m/>
    <s v="www.magnoxsites.co.uk"/>
    <s v="NDA New Construction subcontractor cost estimates extracted from SLC plans"/>
    <s v="See additional notes tab."/>
    <m/>
    <n v="0.32"/>
    <n v="0.48875855327468232"/>
    <n v="0"/>
    <n v="0"/>
    <n v="0"/>
    <n v="0"/>
    <n v="0.80875855327468238"/>
    <n v="0"/>
    <n v="0.48875855327468237"/>
  </r>
  <r>
    <x v="1"/>
    <s v="Nuclear Decommissioning"/>
    <s v="Waste &amp; Materials Management"/>
    <m/>
    <m/>
    <s v="BEP Product Store"/>
    <s v="Sellafield"/>
    <s v="North West"/>
    <s v="Public"/>
    <s v="No"/>
    <s v="Public"/>
    <s v="In Construction"/>
    <s v="Started"/>
    <n v="2018"/>
    <n v="176"/>
    <m/>
    <n v="18"/>
    <n v="54.5"/>
    <n v="53"/>
    <n v="22"/>
    <m/>
    <n v="2.2000000000000002"/>
    <s v="Estimated"/>
    <s v="Nominal"/>
    <m/>
    <s v="www.sellafieldsites.com"/>
    <s v="NDA New Construction subcontractor cost estimates extracted from SLC plans"/>
    <s v="See additional notes tab."/>
    <m/>
    <n v="18"/>
    <n v="53.27468230694037"/>
    <n v="50.842401027592082"/>
    <n v="20.731230726304361"/>
    <n v="0"/>
    <n v="1.8887856040279412"/>
    <n v="142.8483140608368"/>
    <n v="1.8887856040279412"/>
    <n v="126.73709966486473"/>
  </r>
  <r>
    <x v="1"/>
    <s v="Nuclear Decommissioning"/>
    <s v="Waste &amp; Materials Management"/>
    <m/>
    <m/>
    <s v="Sludge Packaging Plant (SPP)"/>
    <s v="Sellafield"/>
    <s v="North West"/>
    <s v="Public"/>
    <s v="No"/>
    <s v="Public"/>
    <s v="In Construction"/>
    <s v="Started"/>
    <n v="2014"/>
    <n v="301"/>
    <m/>
    <n v="65.5"/>
    <n v="13"/>
    <m/>
    <n v="6"/>
    <n v="86"/>
    <n v="137"/>
    <s v="Estimated"/>
    <s v="Nominal"/>
    <m/>
    <s v="www.sellafieldsites.com"/>
    <s v="NDA New Construction subcontractor cost estimates extracted from SLC plans"/>
    <s v="See additional notes tab."/>
    <m/>
    <n v="65.5"/>
    <n v="12.707722385141741"/>
    <n v="0"/>
    <n v="5.6539720162648264"/>
    <n v="79.685610193178491"/>
    <n v="117.61983079628541"/>
    <n v="83.861694401406567"/>
    <n v="197.3054409894639"/>
    <n v="215.6671353908705"/>
  </r>
  <r>
    <x v="1"/>
    <s v="Nuclear Decommissioning"/>
    <s v="Waste &amp; Materials Management"/>
    <m/>
    <m/>
    <s v="Replacement Flask Maintenance Facility"/>
    <s v="Sellafield"/>
    <s v="North West"/>
    <s v="Public"/>
    <s v="No"/>
    <s v="Public"/>
    <s v="In Construction"/>
    <n v="2016"/>
    <n v="2020"/>
    <n v="115.2"/>
    <m/>
    <m/>
    <n v="1"/>
    <n v="2.25"/>
    <n v="10.75"/>
    <n v="58.2"/>
    <n v="43"/>
    <s v="Estimated"/>
    <s v="Nominal"/>
    <m/>
    <s v="www.sellafieldsites.com"/>
    <s v="NDA New Construction subcontractor cost estimates extracted from SLC plans"/>
    <s v="See additional notes tab."/>
    <m/>
    <n v="0"/>
    <n v="0.97751710654936463"/>
    <n v="2.1584038172090976"/>
    <n v="10.130033195807814"/>
    <n v="53.926773409802188"/>
    <n v="36.917173169637032"/>
    <n v="13.265954119566276"/>
    <n v="90.843946579439219"/>
    <n v="104.10990069900549"/>
  </r>
  <r>
    <x v="1"/>
    <s v="Nuclear Decommissioning"/>
    <s v="Waste &amp; Materials Management"/>
    <m/>
    <m/>
    <s v="LLW Sort, segregate and size reduction facility"/>
    <s v="Sellafield"/>
    <s v="North West"/>
    <s v="Public"/>
    <s v="No"/>
    <s v="Public"/>
    <s v="Scoping"/>
    <s v="Started"/>
    <n v="2019"/>
    <n v="71.5"/>
    <m/>
    <m/>
    <m/>
    <n v="2"/>
    <n v="5.5"/>
    <n v="31"/>
    <n v="33.200000000000003"/>
    <s v="Estimated"/>
    <s v="Nominal"/>
    <m/>
    <s v="www.sellafieldsites.com"/>
    <s v="NDA New Construction subcontractor cost estimates extracted from SLC plans"/>
    <s v="See additional notes tab."/>
    <m/>
    <n v="0"/>
    <n v="0"/>
    <n v="1.9185811708525313"/>
    <n v="5.1828076815760902"/>
    <n v="28.723882744052709"/>
    <n v="28.503491842603477"/>
    <n v="7.1013888524286219"/>
    <n v="57.227374586656182"/>
    <n v="64.32876343908481"/>
  </r>
  <r>
    <x v="1"/>
    <s v="Nuclear Decommissioning"/>
    <s v="Waste &amp; Materials Management"/>
    <m/>
    <m/>
    <s v="Silo Maintenance Facility"/>
    <s v="Sellafield"/>
    <s v="North West"/>
    <s v="Public"/>
    <s v="No"/>
    <s v="Public"/>
    <s v="In Construction"/>
    <s v="Started"/>
    <n v="2017"/>
    <n v="105"/>
    <m/>
    <n v="0.01"/>
    <n v="9.5"/>
    <n v="41.5"/>
    <n v="40"/>
    <n v="13.5"/>
    <m/>
    <s v="Estimated"/>
    <s v="Nominal"/>
    <m/>
    <s v="www.sellafieldsites.com"/>
    <s v="NDA New Construction subcontractor cost estimates extracted from SLC plans"/>
    <s v="See additional notes tab."/>
    <m/>
    <n v="0.01"/>
    <n v="9.2864125122189645"/>
    <n v="39.810559295190025"/>
    <n v="37.693146775098839"/>
    <n v="12.508787646603599"/>
    <n v="0"/>
    <n v="86.800118582507821"/>
    <n v="12.508787646603599"/>
    <n v="99.29890622911141"/>
  </r>
  <r>
    <x v="1"/>
    <s v="Nuclear Decommissioning"/>
    <s v="Waste &amp; Materials Management"/>
    <m/>
    <m/>
    <s v="Box Transfer Facility"/>
    <s v="Sellafield"/>
    <s v="North West"/>
    <s v="Public"/>
    <s v="No"/>
    <s v="Public"/>
    <s v="In Construction"/>
    <s v="Started"/>
    <n v="2018"/>
    <n v="92"/>
    <m/>
    <n v="13"/>
    <n v="22"/>
    <n v="16"/>
    <n v="7"/>
    <n v="6.5"/>
    <m/>
    <s v="Estimated"/>
    <s v="Nominal"/>
    <m/>
    <s v="www.sellafieldsites.com"/>
    <s v="NDA New Construction subcontractor cost estimates extracted from SLC plans"/>
    <s v="See additional notes tab."/>
    <m/>
    <n v="13"/>
    <n v="21.505376344086024"/>
    <n v="15.348649366820251"/>
    <n v="6.596300685642297"/>
    <n v="6.0227496076239557"/>
    <n v="0"/>
    <n v="56.450326396548569"/>
    <n v="6.0227496076239557"/>
    <n v="49.473076004172526"/>
  </r>
  <r>
    <x v="1"/>
    <s v="Nuclear Decommissioning"/>
    <s v="Waste &amp; Materials Management"/>
    <m/>
    <m/>
    <s v="Silos Direct Encapsulation Plant"/>
    <s v="Sellafield"/>
    <s v="North West"/>
    <s v="Public"/>
    <s v="No"/>
    <s v="Public"/>
    <s v="In Construction"/>
    <s v="Started"/>
    <n v="2017"/>
    <n v="611"/>
    <m/>
    <n v="42"/>
    <n v="51.5"/>
    <n v="102"/>
    <n v="172"/>
    <n v="227.5"/>
    <m/>
    <s v="Estimated"/>
    <s v="Nominal"/>
    <m/>
    <s v="www.sellafieldsites.com"/>
    <s v="NDA New Construction subcontractor cost estimates extracted from SLC plans"/>
    <s v="See additional notes tab."/>
    <m/>
    <n v="42"/>
    <n v="50.342130987292279"/>
    <n v="97.847639713479097"/>
    <n v="162.08053113292502"/>
    <n v="210.79623626683843"/>
    <n v="0"/>
    <n v="352.27030183369641"/>
    <n v="210.79623626683843"/>
    <n v="521.0665381005349"/>
  </r>
  <r>
    <x v="1"/>
    <s v="Nuclear Decommissioning"/>
    <s v="Waste &amp; Materials Management"/>
    <m/>
    <m/>
    <s v="Highly Active Liquid Evaporator"/>
    <s v="Sellafield"/>
    <s v="North West"/>
    <s v="Public"/>
    <s v="No"/>
    <s v="Public"/>
    <s v="In Construction"/>
    <s v="Started"/>
    <n v="2016"/>
    <n v="262"/>
    <m/>
    <n v="111"/>
    <n v="60"/>
    <n v="31"/>
    <n v="11"/>
    <n v="0.3"/>
    <m/>
    <s v="Estimated"/>
    <s v="Nominal"/>
    <m/>
    <s v="www.sellafieldsites.com"/>
    <s v="NDA New Construction subcontractor cost estimates extracted from SLC plans"/>
    <s v="See additional notes tab."/>
    <m/>
    <n v="111"/>
    <n v="58.651026392961882"/>
    <n v="29.738008148214234"/>
    <n v="10.36561536315218"/>
    <n v="0.27797305881341333"/>
    <n v="0"/>
    <n v="209.75464990432829"/>
    <n v="0.27797305881341333"/>
    <n v="99.032622963141705"/>
  </r>
  <r>
    <x v="1"/>
    <s v="Nuclear Decommissioning"/>
    <s v="Waste &amp; Materials Management"/>
    <m/>
    <m/>
    <s v="Magnox Fuel Storage Pond"/>
    <s v="Sellafield"/>
    <s v="North West"/>
    <s v="Public"/>
    <s v="No"/>
    <s v="Public"/>
    <s v="In Construction"/>
    <s v="Started"/>
    <n v="2026"/>
    <n v="364"/>
    <m/>
    <n v="80"/>
    <n v="39"/>
    <n v="50"/>
    <n v="47"/>
    <n v="92"/>
    <n v="72"/>
    <s v="Estimated"/>
    <s v="Nominal"/>
    <m/>
    <s v="www.sellafieldsites.com"/>
    <s v="NDA New Construction subcontractor cost estimates extracted from SLC plans"/>
    <s v="See additional notes tab."/>
    <m/>
    <n v="80"/>
    <n v="38.123167155425222"/>
    <n v="47.964529271313282"/>
    <n v="44.289447460741137"/>
    <n v="85.245071369446748"/>
    <n v="61.814801586368979"/>
    <n v="210.37714388747963"/>
    <n v="147.05987295581573"/>
    <n v="277.4370168432954"/>
  </r>
  <r>
    <x v="1"/>
    <s v="Nuclear Decommissioning"/>
    <s v="Waste &amp; Materials Management"/>
    <m/>
    <m/>
    <s v="SEP Settling Tank"/>
    <s v="Sellafield"/>
    <s v="North West"/>
    <s v="Public"/>
    <s v="No"/>
    <s v="Public"/>
    <s v="Consents Approved"/>
    <n v="2016"/>
    <n v="2019"/>
    <n v="26"/>
    <m/>
    <m/>
    <m/>
    <m/>
    <n v="2"/>
    <n v="24"/>
    <m/>
    <s v="Estimated"/>
    <s v="Nominal"/>
    <m/>
    <s v="www.sellafieldsites.com"/>
    <s v="NDA New Construction subcontractor cost estimates extracted from SLC plans"/>
    <s v="See additional notes tab."/>
    <m/>
    <n v="0"/>
    <n v="0"/>
    <n v="0"/>
    <n v="1.8846573387549421"/>
    <n v="22.237844705073066"/>
    <n v="0"/>
    <n v="1.8846573387549421"/>
    <n v="22.237844705073066"/>
    <n v="24.122502043828007"/>
  </r>
  <r>
    <x v="1"/>
    <s v="Nuclear Decommissioning"/>
    <s v="Waste &amp; Materials Management"/>
    <m/>
    <m/>
    <s v="Magnox Swarf Storage Silos"/>
    <s v="Sellafield"/>
    <s v="North West"/>
    <s v="Public"/>
    <s v="No"/>
    <s v="Public"/>
    <s v="In Construction"/>
    <s v="Started"/>
    <n v="2022"/>
    <n v="403"/>
    <m/>
    <n v="19"/>
    <n v="54"/>
    <n v="36"/>
    <n v="85"/>
    <n v="107"/>
    <n v="6.1"/>
    <s v="Estimated"/>
    <s v="Nominal"/>
    <m/>
    <s v="www.sellafieldsites.com"/>
    <s v="NDA New Construction subcontractor cost estimates extracted from SLC plans"/>
    <s v="See additional notes tab."/>
    <m/>
    <n v="19"/>
    <n v="52.785923753665692"/>
    <n v="34.534461075345561"/>
    <n v="80.097936897085035"/>
    <n v="99.14372431011742"/>
    <n v="5.2370873566229275"/>
    <n v="186.41832172609628"/>
    <n v="104.38081166674034"/>
    <n v="271.79913339283661"/>
  </r>
  <r>
    <x v="1"/>
    <s v="Nuclear Decommissioning"/>
    <s v="Waste &amp; Materials Management"/>
    <m/>
    <m/>
    <s v="Pile Fuel Cladding Silo"/>
    <s v="Sellafield"/>
    <s v="North West"/>
    <s v="Public"/>
    <s v="No"/>
    <s v="Public"/>
    <s v="In Construction"/>
    <s v="Started"/>
    <n v="2018"/>
    <n v="318"/>
    <m/>
    <n v="64"/>
    <n v="52"/>
    <n v="34.5"/>
    <n v="71"/>
    <n v="69.3"/>
    <m/>
    <s v="Estimated"/>
    <s v="Nominal"/>
    <m/>
    <s v="www.sellafieldsites.com"/>
    <s v="NDA New Construction subcontractor cost estimates extracted from SLC plans"/>
    <s v="See additional notes tab."/>
    <m/>
    <n v="64"/>
    <n v="50.830889540566965"/>
    <n v="33.095525197206165"/>
    <n v="66.905335525800439"/>
    <n v="64.211776585898477"/>
    <n v="0"/>
    <n v="214.83175026357358"/>
    <n v="64.211776585898477"/>
    <n v="215.04352684947207"/>
  </r>
  <r>
    <x v="1"/>
    <s v="Nuclear Decommissioning"/>
    <s v="Waste &amp; Materials Management"/>
    <m/>
    <m/>
    <s v="SIXEP Contingency Plant"/>
    <s v="Sellafield"/>
    <s v="North West"/>
    <s v="Public"/>
    <s v="No"/>
    <s v="Public"/>
    <s v="Consents Approved"/>
    <n v="2016"/>
    <n v="2020"/>
    <n v="123.5"/>
    <m/>
    <m/>
    <m/>
    <m/>
    <n v="16.5"/>
    <n v="106.7"/>
    <n v="0.04"/>
    <s v="Estimated"/>
    <s v="Nominal"/>
    <m/>
    <s v="www.sellafieldsites.com"/>
    <s v="NDA New Construction subcontractor cost estimates extracted from SLC plans"/>
    <s v="See additional notes tab."/>
    <m/>
    <n v="0"/>
    <n v="0"/>
    <n v="0"/>
    <n v="15.548423044728272"/>
    <n v="98.865751251304005"/>
    <n v="3.4341556436871652E-2"/>
    <n v="15.548423044728272"/>
    <n v="98.900092807740876"/>
    <n v="114.44851585246914"/>
  </r>
  <r>
    <x v="1"/>
    <s v="Nuclear Decommissioning"/>
    <s v="Waste &amp; Materials Management"/>
    <m/>
    <m/>
    <s v="Box Encapsulation Plant (BEP)"/>
    <s v="Sellafield"/>
    <s v="North West"/>
    <s v="Public"/>
    <s v="No"/>
    <s v="Public"/>
    <s v="Consents Approved"/>
    <n v="2018"/>
    <s v="TBC"/>
    <n v="624.25"/>
    <m/>
    <m/>
    <m/>
    <m/>
    <n v="11.25"/>
    <n v="130"/>
    <n v="483"/>
    <s v="Estimated"/>
    <s v="Nominal"/>
    <m/>
    <s v="www.sellafieldsites.com"/>
    <s v="NDA New Construction subcontractor cost estimates extracted from SLC plans"/>
    <s v="See additional notes tab."/>
    <m/>
    <n v="0"/>
    <n v="0"/>
    <n v="0"/>
    <n v="10.601197530496549"/>
    <n v="120.45499215247911"/>
    <n v="414.67429397522523"/>
    <n v="10.601197530496549"/>
    <n v="535.12928612770429"/>
    <n v="545.7304836582008"/>
  </r>
  <r>
    <x v="1"/>
    <s v="Nuclear Decommissioning"/>
    <s v="Waste &amp; Materials Management"/>
    <m/>
    <m/>
    <s v="Pile Fuel Storage Pond Local Sludge Treatment Plant (LSTP)"/>
    <s v="Sellafield"/>
    <s v="North West"/>
    <s v="Public"/>
    <s v="No"/>
    <s v="Public"/>
    <s v="In Construction"/>
    <s v="Started"/>
    <s v="TBC"/>
    <n v="41.5"/>
    <m/>
    <n v="5.2"/>
    <n v="1.25"/>
    <n v="4.5"/>
    <n v="10.5"/>
    <n v="20.100000000000001"/>
    <m/>
    <s v="Estimated"/>
    <s v="Nominal"/>
    <m/>
    <s v="www.sellafieldsites.com"/>
    <s v="NDA New Construction subcontractor cost estimates extracted from SLC plans"/>
    <s v="See additional notes tab."/>
    <m/>
    <n v="5.2"/>
    <n v="1.2218963831867058"/>
    <n v="4.3168076344181951"/>
    <n v="9.894451028463445"/>
    <n v="18.624194940498693"/>
    <n v="0"/>
    <n v="20.633155046068346"/>
    <n v="18.624194940498693"/>
    <n v="34.057349986567033"/>
  </r>
  <r>
    <x v="1"/>
    <s v="Smart meters"/>
    <s v="Smart meters"/>
    <s v="Smart meters rollout to domestic and small non-domestic customers"/>
    <m/>
    <m/>
    <s v="The rollout of smart meters involves the deployment of a dedicated communications infrastructure so that energy consumption data can be securely transmitted from smart meters to energy suppliers and other relevant agents in the energy market. The infrastructure investment needed for the smart metering system covers the smart meter assets and in-home displays (at the energy consumer end), the communications network, and IT systems upgrades for energy suppliers and others in the energy industry. "/>
    <s v="UK"/>
    <s v="Private"/>
    <s v="Yes"/>
    <s v="Private"/>
    <s v="Active Programme"/>
    <n v="2013"/>
    <n v="2020"/>
    <n v="6035.0950331498379"/>
    <m/>
    <m/>
    <n v="16.426505714542511"/>
    <n v="81.792976177327859"/>
    <n v="146.89909001447219"/>
    <n v="1502.05"/>
    <n v="4287.92"/>
    <s v="Estimated"/>
    <s v="Constant"/>
    <s v="2011/12"/>
    <s v="https://www.gov.uk/government/organisations/department-of-energy-climate-change"/>
    <s v="DECC - Smart Meters Team"/>
    <s v="Metering, supplier and other IT investment is non-regulated private investment. Comms and data capital investment required to support the shared communications network is regulated. Please note that the investment values given are based on calendar years, rather than fiscal years and is off of a base year of 2011. "/>
    <s v="Yes"/>
    <n v="0"/>
    <n v="16.717048008937851"/>
    <n v="83.239681847843372"/>
    <n v="149.49735402746961"/>
    <n v="1528.6173698886651"/>
    <n v="4363.7621868067008"/>
    <n v="249.45408388425085"/>
    <n v="5892.3795566953659"/>
    <n v="6141.8336405796163"/>
  </r>
  <r>
    <x v="2"/>
    <s v="Flood"/>
    <s v="Accelerated scheme"/>
    <m/>
    <m/>
    <s v="Anchorsholme Coast Protection Scheme"/>
    <m/>
    <s v="North West"/>
    <s v="Public"/>
    <s v="No"/>
    <s v="Public"/>
    <s v="In Construction"/>
    <n v="2013"/>
    <n v="2025"/>
    <n v="23.1"/>
    <m/>
    <n v="0.16700000000000001"/>
    <n v="5.6"/>
    <n v="15.3"/>
    <n v="2.2000000000000002"/>
    <m/>
    <m/>
    <s v="Estimated"/>
    <s v="Nominal"/>
    <m/>
    <s v="http://www.environment-agency.gov.uk/research/planning/118129.aspx"/>
    <s v="Medium Term Plan &amp; PPMT (Project and Programme Management Tool)"/>
    <s v="Project accelerated following the announcement in November 2012 that an additional £120m was to be invested in flood defences. Start and completion dates are subject to change due to the speed at which the projects have been accelerated. "/>
    <m/>
    <n v="0.16699999999999998"/>
    <n v="5.4740957966764423"/>
    <n v="14.677145957021864"/>
    <n v="2.0731230726304366"/>
    <n v="0"/>
    <n v="0"/>
    <n v="22.391364826328743"/>
    <n v="0"/>
    <n v="22.224364826328742"/>
  </r>
  <r>
    <x v="2"/>
    <s v="Flood"/>
    <s v="Accelerated scheme"/>
    <m/>
    <m/>
    <s v="Broomhill Sands Coastal Defence Scheme"/>
    <s v="Improve Coastal Sea Defences  between Camber Sands and Jury's Gap in East Sussex from a 1:20 SoP to 1:200 SoP.   The 2km of shingle beach and rock revetment proposed will contribute to the protection of 5,334 residences in Coastal Cell 2 of the Folkestone to Cliff End Strategy and will provide direct benefit to the 620 residences at immediate risk from failure of this frontage."/>
    <s v="South East"/>
    <s v="Public"/>
    <s v="No"/>
    <s v="Public"/>
    <s v="Scoping"/>
    <n v="2019"/>
    <n v="2025"/>
    <n v="26.701293629999999"/>
    <m/>
    <m/>
    <n v="0.33151815999999995"/>
    <n v="16.207999999999998"/>
    <n v="9"/>
    <n v="0.05"/>
    <m/>
    <s v="Estimated"/>
    <s v="Nominal"/>
    <m/>
    <s v="http://www.environment-agency.gov.uk/research/planning/118129.aspx"/>
    <s v="Medium Term Plan &amp; PPMT (Project and Programme Management Tool)"/>
    <s v="Project accelerated following the announcement in November 2012 that an additional £120m was to be invested in flood defences. Start and completion dates are subject to change due to the speed at which the projects have been accelerated. "/>
    <m/>
    <n v="0"/>
    <n v="0.32406467253176929"/>
    <n v="15.548181808588911"/>
    <n v="8.4809580243972391"/>
    <n v="4.6328843135568884E-2"/>
    <n v="0"/>
    <n v="24.353204505517919"/>
    <n v="4.6328843135568884E-2"/>
    <n v="24.399533348653488"/>
  </r>
  <r>
    <x v="2"/>
    <s v="Flood"/>
    <s v="Accelerated scheme"/>
    <m/>
    <m/>
    <s v="Crossens Pumping Station Refurbishment"/>
    <s v="Appraisal of the flood risk management options associated with Crossens Pumping Station and delivery of the optimum flood risk management solution."/>
    <s v="North West"/>
    <s v="Public"/>
    <s v="No"/>
    <s v="Public"/>
    <s v="Scoping"/>
    <n v="2021"/>
    <n v="2025"/>
    <n v="4.8710000000000004"/>
    <m/>
    <m/>
    <n v="8.073575999999999E-2"/>
    <n v="2.468"/>
    <n v="2.4830000000000001"/>
    <m/>
    <m/>
    <s v="Estimated"/>
    <s v="Nominal"/>
    <m/>
    <s v="http://www.environment-agency.gov.uk/research/planning/118129.aspx"/>
    <s v="Medium Term Plan &amp; PPMT (Project and Programme Management Tool)"/>
    <s v="Project accelerated following the announcement in November 2012 that an additional £120m was to be invested in flood defences. Start and completion dates are subject to change due to the speed at which the projects have been accelerated. "/>
    <m/>
    <n v="0"/>
    <n v="7.8920586510263929E-2"/>
    <n v="2.3675291648320238"/>
    <n v="2.3398020860642608"/>
    <n v="0"/>
    <n v="0"/>
    <n v="4.7862518374065486"/>
    <n v="0"/>
    <n v="4.7862518374065486"/>
  </r>
  <r>
    <x v="2"/>
    <s v="Flood"/>
    <s v="Accelerated scheme"/>
    <m/>
    <m/>
    <s v="Croston Village FAS"/>
    <s v="400 Properties in Croston are at risk of flooding from the Rivers Yarrow, Lostock and their tributaries in a 100 yr event. There is a history of recent flooding from main river, surface water, sewers and highway drainage sources."/>
    <s v="North West"/>
    <s v="Public"/>
    <s v="No"/>
    <s v="Public"/>
    <s v="Scoping"/>
    <n v="2018"/>
    <n v="2021"/>
    <n v="4.048"/>
    <m/>
    <n v="0.57185229999999998"/>
    <n v="0.27603842000000001"/>
    <n v="0.94099999999999995"/>
    <n v="3.1"/>
    <m/>
    <m/>
    <s v="Estimated"/>
    <s v="Nominal"/>
    <m/>
    <s v="http://www.environment-agency.gov.uk/research/planning/118129.aspx"/>
    <s v="Medium Term Plan &amp; PPMT (Project and Programme Management Tool)"/>
    <s v="Project accelerated following the announcement in November 2012 that an additional £120m was to be invested in flood defences. Start and completion dates are subject to change due to the speed at which the projects have been accelerated. "/>
    <m/>
    <n v="0.57185229999999998"/>
    <n v="0.26983227761485828"/>
    <n v="0.90269244088611589"/>
    <n v="2.92121887507016"/>
    <n v="0"/>
    <n v="0"/>
    <n v="4.6655958935711341"/>
    <n v="0"/>
    <n v="4.0937435935711344"/>
  </r>
  <r>
    <x v="2"/>
    <s v="Flood"/>
    <s v="Accelerated scheme"/>
    <m/>
    <m/>
    <s v="Dawlish Warren and Exmouth Beach Management Scheme"/>
    <m/>
    <s v="South West"/>
    <s v="Public"/>
    <s v="No"/>
    <s v="Public"/>
    <s v="Scoping"/>
    <n v="2018"/>
    <n v="2022"/>
    <n v="8.8116000000000003"/>
    <m/>
    <m/>
    <n v="0.39841399999999999"/>
    <n v="0.47049999999999997"/>
    <n v="0.42"/>
    <n v="7.35"/>
    <m/>
    <s v="Estimated"/>
    <s v="Nominal"/>
    <m/>
    <s v="http://www.environment-agency.gov.uk/research/planning/118129.aspx"/>
    <s v="Medium Term Plan &amp; PPMT (Project and Programme Management Tool)"/>
    <s v="Project accelerated following the announcement in November 2012 that an additional £120m was to be invested in flood defences. Start and completion dates are subject to change due to the speed at which the projects have been accelerated. "/>
    <m/>
    <n v="0"/>
    <n v="0.38945650048875857"/>
    <n v="0.45134622044305794"/>
    <n v="0.39577804113853782"/>
    <n v="6.8103399409286265"/>
    <n v="0"/>
    <n v="1.2365807620703544"/>
    <n v="6.8103399409286265"/>
    <n v="8.0469207029989818"/>
  </r>
  <r>
    <x v="2"/>
    <s v="Flood"/>
    <s v="Accelerated scheme"/>
    <m/>
    <m/>
    <s v="Devon and Cornwall Floods Recovery 2012"/>
    <s v="Identify and implement flood improvements for communities in Devon and Cornwall affected by the 2012 summer floods"/>
    <s v="South West"/>
    <s v="Public"/>
    <s v="No"/>
    <s v="Public"/>
    <s v="Consents Approved"/>
    <n v="2018"/>
    <n v="2023"/>
    <n v="4.2480000000000002"/>
    <m/>
    <n v="0.89"/>
    <n v="1.0974999999999999"/>
    <m/>
    <m/>
    <m/>
    <m/>
    <s v="Tendered"/>
    <s v="Nominal"/>
    <m/>
    <s v="http://www.environment-agency.gov.uk/research/planning/118129.aspx"/>
    <s v="Medium Term Plan &amp; PPMT (Project and Programme Management Tool)"/>
    <s v="Project accelerated following the announcement in November 2012 that an additional £120m was to be invested in flood defences. Start and completion dates are subject to change due to the speed at which the projects have been accelerated. "/>
    <m/>
    <n v="0.89"/>
    <n v="1.0728250244379276"/>
    <n v="0"/>
    <n v="0"/>
    <n v="0"/>
    <n v="0"/>
    <n v="1.9628250244379277"/>
    <n v="0"/>
    <n v="1.0728250244379276"/>
  </r>
  <r>
    <x v="2"/>
    <s v="Flood"/>
    <s v="Accelerated scheme"/>
    <m/>
    <m/>
    <s v="Great Yarmouth Tidal Defences"/>
    <s v="George Prior, low section of floodwall which requires improvement"/>
    <s v="East of England"/>
    <s v="Public"/>
    <s v="No"/>
    <s v="Public"/>
    <s v="In Construction"/>
    <n v="2013"/>
    <n v="2025"/>
    <n v="25.119202770000001"/>
    <m/>
    <n v="0.11679"/>
    <n v="7.2784631399999995"/>
    <n v="9.9281101500000002"/>
    <n v="8.1083909999999992"/>
    <n v="0.01"/>
    <m/>
    <s v="Estimated"/>
    <s v="Nominal"/>
    <m/>
    <s v="http://www.environment-agency.gov.uk/research/planning/118129.aspx"/>
    <s v="Medium Term Plan &amp; PPMT (Project and Programme Management Tool)"/>
    <s v="Project accelerated following the announcement in November 2012 that an additional £120m was to be invested in flood defences. Start and completion dates are subject to change due to the speed at which the projects have been accelerated. "/>
    <m/>
    <n v="0.11679"/>
    <n v="7.1148222287390022"/>
    <n v="9.5239425979699508"/>
    <n v="7.6407693018222611"/>
    <n v="9.2657686271137782E-3"/>
    <n v="0"/>
    <n v="24.396324128531212"/>
    <n v="9.2657686271137782E-3"/>
    <n v="24.288799897158324"/>
  </r>
  <r>
    <x v="2"/>
    <s v="Flood"/>
    <s v="Accelerated scheme"/>
    <m/>
    <m/>
    <s v="Headland Structures Phase 1 Study and Construction"/>
    <s v="Life expired vertical masonry blockwork walls. Proposed solution is to provide concrete encasement_x000a_"/>
    <s v="North East"/>
    <s v="Public"/>
    <s v="No"/>
    <s v="Public"/>
    <s v="Scoping"/>
    <n v="2018"/>
    <n v="2024"/>
    <n v="3.7450000000000001"/>
    <m/>
    <m/>
    <n v="0.08"/>
    <n v="6.73"/>
    <n v="1.42"/>
    <m/>
    <m/>
    <s v="Estimated"/>
    <s v="Nominal"/>
    <m/>
    <s v="http://www.environment-agency.gov.uk/research/planning/118129.aspx"/>
    <s v="Medium Term Plan &amp; PPMT (Project and Programme Management Tool)"/>
    <s v="Project accelerated following the announcement in November 2012 that an additional £120m was to be invested in flood defences. Start and completion dates are subject to change due to the speed at which the projects have been accelerated. "/>
    <m/>
    <n v="0"/>
    <n v="7.8201368523949169E-2"/>
    <n v="6.4560256399187681"/>
    <n v="1.3381067105160089"/>
    <n v="0"/>
    <n v="0"/>
    <n v="7.8723337189587266"/>
    <n v="0"/>
    <n v="7.8723337189587266"/>
  </r>
  <r>
    <x v="2"/>
    <s v="Flood"/>
    <s v="Accelerated scheme"/>
    <m/>
    <m/>
    <s v="Horncastle Improvements"/>
    <s v="The existing standard  of protection to Horncastle falls short of indicative standards.  Proposed works comprise construction of upstream flood storage.  Some 40 properties were flooded in June 2007."/>
    <s v="East Midlands"/>
    <s v="Public"/>
    <s v="No"/>
    <s v="Public"/>
    <s v="Scoping"/>
    <n v="2017"/>
    <n v="2021"/>
    <n v="7.008"/>
    <m/>
    <n v="0.56374800000000003"/>
    <n v="0.20134447"/>
    <n v="0.88061766000000008"/>
    <n v="4.2975000000000003"/>
    <n v="1.49"/>
    <m/>
    <s v="Estimated"/>
    <s v="Nominal"/>
    <m/>
    <s v="http://www.environment-agency.gov.uk/research/planning/118129.aspx"/>
    <s v="Medium Term Plan &amp; PPMT (Project and Programme Management Tool)"/>
    <s v="Project accelerated following the announcement in November 2012 that an additional £120m was to be invested in flood defences. Start and completion dates are subject to change due to the speed at which the projects have been accelerated. "/>
    <m/>
    <n v="0.56374800000000003"/>
    <n v="0.19681766373411536"/>
    <n v="0.84476823059810824"/>
    <n v="4.0496574566496824"/>
    <n v="1.3805995254399528"/>
    <n v="0"/>
    <n v="5.6549913509819056"/>
    <n v="1.3805995254399528"/>
    <n v="6.4718428764218583"/>
  </r>
  <r>
    <x v="2"/>
    <s v="Flood"/>
    <s v="Accelerated scheme"/>
    <m/>
    <m/>
    <s v="Humber Grimsby Docks"/>
    <m/>
    <s v="Yorkshire &amp; the Humber"/>
    <s v="Public"/>
    <s v="No"/>
    <s v="Public"/>
    <s v="In Construction"/>
    <n v="2013"/>
    <n v="2022"/>
    <n v="20.006499999999999"/>
    <m/>
    <n v="1.3659384800000001"/>
    <n v="4.6125210000000001"/>
    <n v="6.5"/>
    <n v="9.4369999999999994"/>
    <m/>
    <m/>
    <s v="Tendered"/>
    <s v="Nominal"/>
    <m/>
    <s v="http://www.environment-agency.gov.uk/research/planning/118129.aspx"/>
    <s v="Medium Term Plan &amp; PPMT (Project and Programme Management Tool)"/>
    <s v="Project accelerated following the announcement in November 2012 that an additional £120m was to be invested in flood defences. Start and completion dates are subject to change due to the speed at which the projects have been accelerated. "/>
    <m/>
    <n v="1.3659384800000001"/>
    <n v="4.5088181818181816"/>
    <n v="6.2353888052707269"/>
    <n v="8.8927556529151932"/>
    <n v="0"/>
    <n v="0"/>
    <n v="21.002901120004104"/>
    <n v="0"/>
    <n v="19.636962640004104"/>
  </r>
  <r>
    <x v="2"/>
    <s v="Flood"/>
    <s v="Accelerated scheme"/>
    <m/>
    <m/>
    <s v="Kings Lynn Fisher Fleet - Refurbishment of Floodgates"/>
    <m/>
    <s v="East of England"/>
    <s v="Public"/>
    <s v="No"/>
    <s v="Public"/>
    <s v="Scoping"/>
    <n v="2018"/>
    <n v="2025"/>
    <n v="1.085969"/>
    <m/>
    <m/>
    <n v="0.31524036"/>
    <n v="0.78749999999999998"/>
    <m/>
    <m/>
    <m/>
    <s v="Estimated"/>
    <s v="Nominal"/>
    <m/>
    <s v="http://www.environment-agency.gov.uk/research/planning/118129.aspx"/>
    <s v="Medium Term Plan &amp; PPMT (Project and Programme Management Tool)"/>
    <s v="Project accelerated following the announcement in November 2012 that an additional £120m was to be invested in flood defences. Start and completion dates are subject to change due to the speed at which the projects have been accelerated. "/>
    <m/>
    <n v="0"/>
    <n v="0.30815284457478004"/>
    <n v="0.7554413360231842"/>
    <n v="0"/>
    <n v="0"/>
    <n v="0"/>
    <n v="1.0635941805979643"/>
    <n v="0"/>
    <n v="1.0635941805979643"/>
  </r>
  <r>
    <x v="2"/>
    <s v="Flood"/>
    <s v="Accelerated scheme"/>
    <m/>
    <m/>
    <s v="Littlehampton Arun Tidal Defences East Bank"/>
    <s v="Delivery of the scheme from the Arun to Adur coastal management strategy, for phased improvement of tidal walls along the River Arun to reduce risk to 1900 properties in Littlehampton"/>
    <s v="South East"/>
    <s v="Public"/>
    <s v="No"/>
    <s v="Public"/>
    <s v="In Construction"/>
    <n v="2013"/>
    <n v="2026"/>
    <n v="11.507873"/>
    <m/>
    <n v="3.1257391000000001"/>
    <n v="3.6224804500000003"/>
    <n v="4.7050000000000001"/>
    <n v="0.1"/>
    <m/>
    <m/>
    <s v="Estimated"/>
    <s v="Nominal"/>
    <m/>
    <s v="http://www.environment-agency.gov.uk/research/planning/118129.aspx"/>
    <s v="Medium Term Plan &amp; PPMT (Project and Programme Management Tool)"/>
    <s v="Project accelerated following the announcement in November 2012 that an additional £120m was to be invested in flood defences. Start and completion dates are subject to change due to the speed at which the projects have been accelerated. "/>
    <m/>
    <n v="3.1257391000000001"/>
    <n v="3.541036608015641"/>
    <n v="4.5134622044305797"/>
    <n v="9.4232866937747101E-2"/>
    <n v="0"/>
    <n v="0"/>
    <n v="11.274470779383966"/>
    <n v="0"/>
    <n v="8.1487316793839657"/>
  </r>
  <r>
    <x v="2"/>
    <s v="Flood"/>
    <s v="Accelerated scheme"/>
    <m/>
    <m/>
    <s v="Marton Mere Pumping Station and Spillway improvements"/>
    <m/>
    <s v="North West"/>
    <s v="Public"/>
    <s v="No"/>
    <s v="Public"/>
    <s v="Scoping"/>
    <n v="2016"/>
    <n v="2022"/>
    <n v="0.32500000000000001"/>
    <m/>
    <m/>
    <n v="0.15"/>
    <n v="0.2"/>
    <m/>
    <m/>
    <m/>
    <s v="Estimated"/>
    <s v="Nominal"/>
    <m/>
    <s v="http://www.environment-agency.gov.uk/research/planning/118129.aspx"/>
    <s v="Medium Term Plan &amp; PPMT (Project and Programme Management Tool)"/>
    <s v="Project accelerated following the announcement in November 2012 that an additional £120m was to be invested in flood defences. Start and completion dates are subject to change due to the speed at which the projects have been accelerated. "/>
    <m/>
    <n v="0"/>
    <n v="0.1466275659824047"/>
    <n v="0.19185811708525313"/>
    <n v="0"/>
    <n v="0"/>
    <n v="0"/>
    <n v="0.33848568306765781"/>
    <n v="0"/>
    <n v="0.33848568306765781"/>
  </r>
  <r>
    <x v="2"/>
    <s v="Flood"/>
    <s v="Accelerated scheme"/>
    <m/>
    <m/>
    <s v="Cubbington"/>
    <m/>
    <s v="West Midlands"/>
    <s v="Public"/>
    <s v="No"/>
    <s v="Public"/>
    <s v="In Construction"/>
    <n v="2013"/>
    <n v="2024"/>
    <n v="0.85"/>
    <m/>
    <n v="0.5"/>
    <n v="1.0609999999999999"/>
    <n v="0.1"/>
    <m/>
    <m/>
    <m/>
    <s v="Tendered"/>
    <s v="Nominal"/>
    <m/>
    <s v="http://www.environment-agency.gov.uk/research/planning/118129.aspx"/>
    <s v="Medium Term Plan &amp; PPMT (Project and Programme Management Tool)"/>
    <s v="Project accelerated following the announcement in November 2012 that an additional £120m was to be invested in flood defences. Start and completion dates are subject to change due to the speed at which the projects have been accelerated. "/>
    <m/>
    <n v="0.5"/>
    <n v="1.0371456500488758"/>
    <n v="9.5929058542626566E-2"/>
    <n v="0"/>
    <n v="0"/>
    <n v="0"/>
    <n v="1.6330747085915025"/>
    <n v="0"/>
    <n v="1.1330747085915025"/>
  </r>
  <r>
    <x v="2"/>
    <s v="Flood"/>
    <s v="Accelerated scheme"/>
    <m/>
    <m/>
    <s v="Plymouth, Marsh Mills, Tidal flood alleviation scheme"/>
    <s v="Study and planned works for flood mitigation _x000a_"/>
    <s v="South West"/>
    <s v="Public"/>
    <s v="No"/>
    <s v="Public"/>
    <s v="Consents Approved"/>
    <n v="2016"/>
    <n v="2021"/>
    <n v="0.139999999997999"/>
    <m/>
    <m/>
    <n v="0.35"/>
    <m/>
    <m/>
    <m/>
    <m/>
    <s v="Estimated"/>
    <s v="Nominal"/>
    <m/>
    <s v="http://www.environment-agency.gov.uk/research/planning/118129.aspx"/>
    <s v="Medium Term Plan &amp; PPMT (Project and Programme Management Tool)"/>
    <s v="Project accelerated following the announcement in November 2012 that an additional £120m was to be invested in flood defences. Start and completion dates are subject to change due to the speed at which the projects have been accelerated. "/>
    <m/>
    <n v="0"/>
    <n v="0.34213098729227764"/>
    <n v="0"/>
    <n v="0"/>
    <n v="0"/>
    <n v="0"/>
    <n v="0.34213098729227764"/>
    <n v="0"/>
    <n v="0.34213098729227764"/>
  </r>
  <r>
    <x v="2"/>
    <s v="Flood"/>
    <s v="Accelerated scheme"/>
    <m/>
    <m/>
    <s v="Port Clarence and Greatham South Flood Alleviation Scheme"/>
    <s v="The Tees Tidal Flood Risk Management Strategy (2008) identified Port Clarence as a key risk area in the Tees due to its high priority score and current low standard of protection. Port Clarence has the largest number of residential properties at risk in the Tees area. The preferred option for the Greatham South Port Clarence area is to maintain the existing line of the flood  defence and bund the underpasses through the railway embankment._x000a_"/>
    <s v="North East"/>
    <s v="Public"/>
    <s v="No"/>
    <s v="Public"/>
    <s v="Planning &amp; Consents"/>
    <n v="2014"/>
    <n v="2021"/>
    <n v="9.4313000000000002"/>
    <m/>
    <m/>
    <n v="0.35550399999999999"/>
    <n v="1.0740000000000001"/>
    <n v="7.3"/>
    <m/>
    <m/>
    <s v="Estimated"/>
    <s v="Nominal"/>
    <m/>
    <s v="http://www.environment-agency.gov.uk/research/planning/118129.aspx"/>
    <s v="Medium Term Plan &amp; PPMT (Project and Programme Management Tool)"/>
    <s v="Project accelerated following the announcement in November 2012 that an additional £120m was to be invested in flood defences. Start and completion dates are subject to change due to the speed at which the projects have been accelerated. "/>
    <m/>
    <n v="0"/>
    <n v="0.34751124144672529"/>
    <n v="1.0302780887478094"/>
    <n v="6.8789992864555387"/>
    <n v="0"/>
    <n v="0"/>
    <n v="8.2567886166500735"/>
    <n v="0"/>
    <n v="8.2567886166500735"/>
  </r>
  <r>
    <x v="2"/>
    <s v="Flood"/>
    <s v="Accelerated scheme"/>
    <m/>
    <m/>
    <s v="Portsea Island - Flood Cell 4: North Portsea Island"/>
    <m/>
    <s v="South East"/>
    <s v="Public"/>
    <s v="No"/>
    <s v="Public"/>
    <s v="Planning &amp; Consents"/>
    <n v="2015"/>
    <n v="2021"/>
    <n v="26.6"/>
    <m/>
    <n v="0.12651734000000001"/>
    <n v="0.20155764000000001"/>
    <n v="0.13500000000000001"/>
    <n v="10"/>
    <n v="19"/>
    <m/>
    <s v="Estimated"/>
    <s v="Nominal"/>
    <m/>
    <s v="http://www.environment-agency.gov.uk/research/planning/118129.aspx"/>
    <s v="Medium Term Plan &amp; PPMT (Project and Programme Management Tool)"/>
    <s v="Project accelerated following the announcement in November 2012 that an additional £120m was to be invested in flood defences. Start and completion dates are subject to change due to the speed at which the projects have been accelerated. "/>
    <m/>
    <n v="0.12651734000000001"/>
    <n v="0.1970260410557185"/>
    <n v="0.12950422903254585"/>
    <n v="9.4232866937747097"/>
    <n v="17.604960391516176"/>
    <n v="0"/>
    <n v="9.8763343038629738"/>
    <n v="17.604960391516176"/>
    <n v="27.354777355379149"/>
  </r>
  <r>
    <x v="2"/>
    <s v="Flood"/>
    <s v="Accelerated scheme"/>
    <m/>
    <m/>
    <s v="Middle Tame - Perry Barr and Witton"/>
    <s v="Production of Tame PAR(s) covering initial 5 year works recommended in Tame Strategy"/>
    <s v="South East"/>
    <s v="Public"/>
    <s v="No"/>
    <s v="Public"/>
    <s v="In Construction"/>
    <n v="2011"/>
    <n v="2021"/>
    <n v="23.099"/>
    <m/>
    <n v="0.55364380000000002"/>
    <n v="1.10994696"/>
    <n v="14.795223999999999"/>
    <n v="4.602735"/>
    <n v="0.44"/>
    <m/>
    <s v="Estimated"/>
    <s v="Nominal"/>
    <m/>
    <s v="http://www.environment-agency.gov.uk/research/planning/118129.aspx"/>
    <s v="Medium Term Plan &amp; PPMT (Project and Programme Management Tool)"/>
    <s v="Project accelerated following the announcement in November 2012 that an additional £120m was to be invested in flood defences. Start and completion dates are subject to change due to the speed at which the projects have been accelerated. "/>
    <m/>
    <n v="0.55364380000000002"/>
    <n v="1.0849921407624634"/>
    <n v="14.192919092472735"/>
    <n v="4.3372891480471143"/>
    <n v="0.40769381959300621"/>
    <n v="0"/>
    <n v="20.16884418128231"/>
    <n v="0.40769381959300621"/>
    <n v="20.022894200875317"/>
  </r>
  <r>
    <x v="2"/>
    <s v="Flood"/>
    <s v="Accelerated scheme"/>
    <m/>
    <m/>
    <s v="Upper Tame - Titford Culvert"/>
    <s v="Production of Tame PAR(s) covering initial 5 year works recommended in Tame Strategy"/>
    <s v="South East"/>
    <s v="Public"/>
    <s v="No"/>
    <s v="Public"/>
    <s v="In Construction"/>
    <n v="2012"/>
    <n v="2021"/>
    <n v="2.4460000000000002"/>
    <m/>
    <n v="0.53946810000000001"/>
    <n v="0.20903890999999999"/>
    <n v="2.117"/>
    <n v="9.9000000000000005E-2"/>
    <n v="0.03"/>
    <m/>
    <s v="Estimated"/>
    <s v="Nominal"/>
    <m/>
    <s v="http://www.environment-agency.gov.uk/research/planning/118129.aspx"/>
    <s v="Medium Term Plan &amp; PPMT (Project and Programme Management Tool)"/>
    <s v="Project accelerated following the announcement in November 2012 that an additional £120m was to be invested in flood defences. Start and completion dates are subject to change due to the speed at which the projects have been accelerated. "/>
    <m/>
    <n v="0.53946810000000001"/>
    <n v="0.20433911045943304"/>
    <n v="2.0308181693474041"/>
    <n v="9.3290538268369638E-2"/>
    <n v="2.7797305881341331E-2"/>
    <n v="0"/>
    <n v="2.8679159180752065"/>
    <n v="2.7797305881341331E-2"/>
    <n v="2.3562451239565476"/>
  </r>
  <r>
    <x v="2"/>
    <s v="Flood"/>
    <s v="Accelerated scheme"/>
    <m/>
    <m/>
    <s v="Upper Tame - Holloway Bank"/>
    <s v="Production of Tame PAR(s) covering initial 5 year works recommended in Tame Strategy"/>
    <s v="South East"/>
    <s v="Public"/>
    <s v="No"/>
    <s v="Public"/>
    <s v="Consents Approved"/>
    <n v="2014"/>
    <n v="2020"/>
    <n v="2.2669999999999999"/>
    <m/>
    <m/>
    <n v="0.12400352000000001"/>
    <n v="0.42143599999999998"/>
    <m/>
    <m/>
    <m/>
    <s v="Estimated"/>
    <s v="Nominal"/>
    <m/>
    <s v="http://www.environment-agency.gov.uk/research/planning/118129.aspx"/>
    <s v="Medium Term Plan &amp; PPMT (Project and Programme Management Tool)"/>
    <s v="Project accelerated following the announcement in November 2012 that an additional £120m was to be invested in flood defences. Start and completion dates are subject to change due to the speed at which the projects have been accelerated. "/>
    <m/>
    <n v="0"/>
    <n v="0.12121556207233626"/>
    <n v="0.40427958715970369"/>
    <n v="0"/>
    <n v="0"/>
    <n v="0"/>
    <n v="0.52549514923203999"/>
    <n v="0"/>
    <n v="0.52549514923203999"/>
  </r>
  <r>
    <x v="2"/>
    <s v="Flood"/>
    <s v="Accelerated scheme"/>
    <m/>
    <m/>
    <s v="Rossall Coastal Defence Improvement Scheme"/>
    <s v="Implement the results of the Framework For Action, i.e. PAR recommendations.  The project is likely to require replacement of  the existing vertical walled defences with improved hydraulically efficient defences, with the intention of protecting and raising beach levels, reducing long term damage and reducing overtopping and breach potential."/>
    <s v="North West"/>
    <s v="Public"/>
    <s v="No"/>
    <s v="Public"/>
    <s v="In Construction"/>
    <n v="2013"/>
    <n v="2017"/>
    <n v="64.415000000000006"/>
    <n v="79.823999999999998"/>
    <n v="0.16700000000000001"/>
    <n v="3.6"/>
    <n v="20.100000000000001"/>
    <n v="20.100000000000001"/>
    <n v="76.5"/>
    <n v="5.34"/>
    <s v="Estimated"/>
    <s v="Nominal"/>
    <m/>
    <s v="http://www.environment-agency.gov.uk/research/planning/118129.aspx"/>
    <s v="Medium Term Plan &amp; PPMT (Project and Programme Management Tool)"/>
    <s v="Project accelerated following the announcement in November 2012 that an additional £120m was to be invested in flood defences. Start and completion dates are subject to change due to the speed at which the projects have been accelerated. "/>
    <m/>
    <n v="0.16699999999999998"/>
    <n v="3.5190615835777126"/>
    <n v="19.281740767067941"/>
    <n v="18.940806254487171"/>
    <n v="70.883129997420397"/>
    <n v="4.5845977843223658"/>
    <n v="41.908608605132827"/>
    <n v="75.467727781742767"/>
    <n v="117.20933638687559"/>
  </r>
  <r>
    <x v="2"/>
    <s v="Flood"/>
    <s v="Accelerated scheme"/>
    <m/>
    <m/>
    <s v="Sandsend Coast Protection Scheme"/>
    <s v="Problem - Unstable boulder clay and life expired revetment. Solution - Concrete stepped revetment and slope stabilisation"/>
    <s v="North East"/>
    <s v="Public"/>
    <s v="No"/>
    <s v="Public"/>
    <s v="Consents Approved"/>
    <n v="2014"/>
    <n v="2021"/>
    <n v="9.3339999999999996"/>
    <m/>
    <m/>
    <m/>
    <n v="7.8635743399999996"/>
    <m/>
    <m/>
    <m/>
    <s v="Estimated"/>
    <s v="Nominal"/>
    <m/>
    <s v="http://www.environment-agency.gov.uk/research/planning/118129.aspx"/>
    <s v="Medium Term Plan &amp; PPMT (Project and Programme Management Tool)"/>
    <s v="Project accelerated following the announcement in November 2012 that an additional £120m was to be invested in flood defences. Start and completion dates are subject to change due to the speed at which the projects have been accelerated. "/>
    <m/>
    <n v="0"/>
    <n v="0"/>
    <n v="7.5434528321615604"/>
    <n v="0"/>
    <n v="0"/>
    <n v="0"/>
    <n v="7.5434528321615604"/>
    <n v="0"/>
    <n v="7.5434528321615604"/>
  </r>
  <r>
    <x v="2"/>
    <s v="Flood"/>
    <s v="Accelerated scheme"/>
    <m/>
    <m/>
    <s v="Scarborough South Bay Spa Seawall Works"/>
    <s v="Spa sea wall improvements and slope stabilisation works._x000a_"/>
    <s v="Yorkshire &amp; the Humber"/>
    <s v="Public"/>
    <s v="No"/>
    <s v="Public"/>
    <s v="Scoping"/>
    <n v="2019"/>
    <n v="2018"/>
    <n v="21.850999999999999"/>
    <m/>
    <m/>
    <m/>
    <n v="0.35299999999999998"/>
    <m/>
    <m/>
    <m/>
    <s v="Estimated"/>
    <s v="Nominal"/>
    <m/>
    <s v="http://www.environment-agency.gov.uk/research/planning/118129.aspx"/>
    <s v="Medium Term Plan &amp; PPMT (Project and Programme Management Tool)"/>
    <s v="Project accelerated following the announcement in November 2012 that an additional £120m was to be invested in flood defences. Start and completion dates are subject to change due to the speed at which the projects have been accelerated. "/>
    <m/>
    <n v="0"/>
    <n v="0"/>
    <n v="0.33862957665547178"/>
    <n v="0"/>
    <n v="0"/>
    <n v="0"/>
    <n v="0.33862957665547178"/>
    <n v="0"/>
    <n v="0.33862957665547178"/>
  </r>
  <r>
    <x v="2"/>
    <s v="Flood"/>
    <s v="Accelerated scheme"/>
    <m/>
    <m/>
    <s v="Seaham Harbour Design and Construction"/>
    <s v="The Pier has been identified in the Seaham Strategy Study (2004) as being a critical coastal defence element for the protection of Seaham Harbour Port.The listed structure is beginning to fail and is showing signs of progressive collapse in several sections along its length. Investigation works are needed to establish the level of damage suffered by the structure, determine itâ€™s workable life. "/>
    <s v="North East"/>
    <s v="Public"/>
    <s v="No"/>
    <s v="Public"/>
    <s v="Scoping"/>
    <n v="2019"/>
    <n v="2022"/>
    <n v="3"/>
    <m/>
    <n v="0.26"/>
    <n v="0.15"/>
    <n v="2"/>
    <m/>
    <m/>
    <m/>
    <s v="Estimated"/>
    <s v="Nominal"/>
    <m/>
    <s v="http://www.environment-agency.gov.uk/research/planning/118129.aspx"/>
    <s v="Medium Term Plan &amp; PPMT (Project and Programme Management Tool)"/>
    <s v="Project accelerated following the announcement in November 2012 that an additional £120m was to be invested in flood defences. Start and completion dates are subject to change due to the speed at which the projects have been accelerated. "/>
    <m/>
    <n v="0.26"/>
    <n v="0.1466275659824047"/>
    <n v="1.9185811708525313"/>
    <n v="0"/>
    <n v="0"/>
    <n v="0"/>
    <n v="2.3252087368349361"/>
    <n v="0"/>
    <n v="2.0652087368349363"/>
  </r>
  <r>
    <x v="2"/>
    <s v="Flood"/>
    <s v="Accelerated scheme"/>
    <m/>
    <m/>
    <s v="Skinningrove Coastal Protection Works"/>
    <s v="Study to assess issues and options for protection of Skinningrove Coastal Defences"/>
    <s v="North East"/>
    <s v="Public"/>
    <s v="No"/>
    <s v="Public"/>
    <s v="Scoping"/>
    <n v="2017"/>
    <n v="2022"/>
    <n v="2.19"/>
    <m/>
    <n v="0.88"/>
    <n v="0.20799999999999999"/>
    <n v="3.4"/>
    <m/>
    <m/>
    <m/>
    <s v="Estimated"/>
    <s v="Nominal"/>
    <m/>
    <s v="http://www.environment-agency.gov.uk/research/planning/118129.aspx"/>
    <s v="Medium Term Plan &amp; PPMT (Project and Programme Management Tool)"/>
    <s v="Project accelerated following the announcement in November 2012 that an additional £120m was to be invested in flood defences. Start and completion dates are subject to change due to the speed at which the projects have been accelerated. "/>
    <m/>
    <n v="0.88"/>
    <n v="0.20332355816226785"/>
    <n v="3.261587990449303"/>
    <n v="0"/>
    <n v="0"/>
    <n v="0"/>
    <n v="4.344911548611571"/>
    <n v="0"/>
    <n v="3.4649115486115711"/>
  </r>
  <r>
    <x v="2"/>
    <s v="Flood"/>
    <s v="Accelerated scheme"/>
    <m/>
    <m/>
    <s v="Midlands West Reservoir Works 2"/>
    <s v="Saintbridge 1 - Works to wingwalls  to prevent erosion.  Saintbridge 2 - Topographical survey and detailed design works to construct an auxilliary spillway and assess the effects on the adjacent allotments.  Cox's Meadow - works to extend the spillway and and create a path over the informal desire line up to the spillway.  Kidderminster - Reinforcement of embankments and regularising of crest levels"/>
    <s v="West Midlands"/>
    <s v="Public"/>
    <s v="No"/>
    <s v="Public"/>
    <s v="In Construction"/>
    <n v="2013"/>
    <n v="2019"/>
    <n v="0.33566876999999895"/>
    <m/>
    <n v="0.228356"/>
    <n v="0.22000582000000002"/>
    <m/>
    <m/>
    <m/>
    <m/>
    <s v="Tendered"/>
    <s v="Nominal"/>
    <m/>
    <s v="http://www.environment-agency.gov.uk/research/planning/118129.aspx"/>
    <s v="Medium Term Plan &amp; PPMT (Project and Programme Management Tool)"/>
    <s v="Project accelerated following the announcement in November 2012 that an additional £120m was to be invested in flood defences. Start and completion dates are subject to change due to the speed at which the projects have been accelerated. "/>
    <m/>
    <n v="0.228356"/>
    <n v="0.21505945259042036"/>
    <n v="0"/>
    <n v="0"/>
    <n v="0"/>
    <n v="0"/>
    <n v="0.44341545259042037"/>
    <n v="0"/>
    <n v="0.21505945259042036"/>
  </r>
  <r>
    <x v="2"/>
    <s v="Flood"/>
    <s v="Accelerated scheme"/>
    <m/>
    <m/>
    <s v="Whitby Harbour Works MU17  MU18"/>
    <s v="Coast protection works. Works arising from Whitby strategy review and prioritised PARs_x000a_"/>
    <s v="North East"/>
    <s v="Public"/>
    <s v="No"/>
    <s v="Public"/>
    <s v="Scoping"/>
    <n v="2015"/>
    <n v="2015"/>
    <n v="8.5220000000000002"/>
    <m/>
    <m/>
    <n v="0.10000001"/>
    <n v="0.5"/>
    <m/>
    <m/>
    <m/>
    <s v="Estimated"/>
    <s v="Nominal"/>
    <m/>
    <s v="http://www.environment-agency.gov.uk/research/planning/118129.aspx"/>
    <s v="Medium Term Plan &amp; PPMT (Project and Programme Management Tool)"/>
    <s v="Project accelerated following the announcement in November 2012 that an additional £120m was to be invested in flood defences. Start and completion dates are subject to change due to the speed at which the projects have been accelerated. "/>
    <m/>
    <n v="0"/>
    <n v="9.7751720430107519E-2"/>
    <n v="0.47964529271313283"/>
    <n v="0"/>
    <n v="0"/>
    <n v="0"/>
    <n v="0.57739701314324032"/>
    <n v="0"/>
    <n v="0.57739701314324032"/>
  </r>
  <r>
    <x v="2"/>
    <s v="Flood"/>
    <s v="Accelerated scheme"/>
    <m/>
    <m/>
    <s v="Leicester FRMS - conveyance works"/>
    <s v="To link Leicester City Pluvial Modelling with Fluvial modelling _x000a_"/>
    <s v="East Midlands"/>
    <s v="Public"/>
    <s v="No"/>
    <s v="Public"/>
    <s v="Consents Approved"/>
    <n v="2014"/>
    <n v="2016"/>
    <n v="13.337493800000001"/>
    <m/>
    <m/>
    <n v="0.30724380000000001"/>
    <n v="0.255"/>
    <n v="3.5"/>
    <n v="9.5"/>
    <m/>
    <s v="Estimated"/>
    <s v="Nominal"/>
    <m/>
    <s v="http://www.environment-agency.gov.uk/research/planning/118129.aspx"/>
    <s v="Medium Term Plan &amp; PPMT (Project and Programme Management Tool)"/>
    <s v="Project accelerated following the announcement in November 2012 that an additional £120m was to be invested in flood defences. Start and completion dates are subject to change due to the speed at which the projects have been accelerated. "/>
    <m/>
    <n v="0"/>
    <n v="0.30033607038123167"/>
    <n v="0.24461909928369774"/>
    <n v="3.2981503428211485"/>
    <n v="8.802480195758088"/>
    <n v="0"/>
    <n v="3.843105512486078"/>
    <n v="8.802480195758088"/>
    <n v="12.645585708244166"/>
  </r>
  <r>
    <x v="2"/>
    <s v="Flood"/>
    <s v="Funding for unallocated schemes from 2016/17"/>
    <s v="Funding for unallocated schemes from 2016/17"/>
    <m/>
    <m/>
    <m/>
    <s v="UK"/>
    <s v="Public"/>
    <s v="No"/>
    <s v="Public"/>
    <s v="Scoping"/>
    <s v="TBC"/>
    <s v="TBC"/>
    <m/>
    <m/>
    <m/>
    <m/>
    <m/>
    <m/>
    <n v="244.9"/>
    <m/>
    <s v="Estimated"/>
    <s v="Nominal"/>
    <m/>
    <s v="http://www.environment-agency.gov.uk/research/planning/118129.aspx"/>
    <m/>
    <s v="Balancing item reflecting the SR13 funding announcement"/>
    <m/>
    <n v="0"/>
    <n v="0"/>
    <n v="0"/>
    <n v="0"/>
    <n v="226.9186736780164"/>
    <n v="0"/>
    <n v="0"/>
    <n v="226.9186736780164"/>
    <n v="226.9186736780164"/>
  </r>
  <r>
    <x v="2"/>
    <s v="Flood"/>
    <s v="Growth scheme"/>
    <m/>
    <m/>
    <s v="Clacton Holland on Sea Management Plan Implementation Phase 1 (Zones B and C)"/>
    <s v="Coastal erosion, fishtail breakwaters and beach renourishment"/>
    <s v="East of England"/>
    <s v="Public"/>
    <s v="No"/>
    <s v="Public"/>
    <s v="Scoping"/>
    <n v="2014"/>
    <n v="2017"/>
    <n v="36.999000000000002"/>
    <m/>
    <m/>
    <n v="0.66700000000000004"/>
    <n v="11.157999999999999"/>
    <n v="11.638"/>
    <m/>
    <m/>
    <s v="Estimated"/>
    <s v="Nominal"/>
    <m/>
    <s v="http://www.environment-agency.gov.uk/research/planning/118129.aspx"/>
    <s v="Medium Term Plan &amp; PPMT (Project and Programme Management Tool)"/>
    <s v="'Growth' project, which would otherwise have failed to attract sufficient funding to go ahead, has now been unlocked due to additional funding announced in November 2012. These projects are set to deliver land for development, while also creating jobs and increasing the number of households with improved protection from flooding. All projects must commence during the current Parliament. "/>
    <s v="Yes"/>
    <n v="0"/>
    <n v="0.65200391006842628"/>
    <n v="10.703764352186273"/>
    <n v="10.966821054215007"/>
    <n v="0"/>
    <n v="0"/>
    <n v="22.322589316469706"/>
    <n v="0"/>
    <n v="22.322589316469706"/>
  </r>
  <r>
    <x v="2"/>
    <s v="Flood"/>
    <s v="Growth Scheme"/>
    <m/>
    <m/>
    <s v="Exeter FDS"/>
    <s v="The Exeter Flood Defence Scheme is being built to address the unacceptably high flood risk in Exeter. Some sections of existing defence only protect against a 10% (1 in 10) chance of flooding in any year, and more generally they protect up to a maximum of 2.5% (1 in 40). We are developing the Scheme in close partnership with senior managers from Exeter City Council (ECC) as the planning authority and Devon County Council (DCC) as the Lead Local Flood Authority. "/>
    <s v="South West"/>
    <s v="Public"/>
    <s v="No"/>
    <s v="Public"/>
    <s v="Scoping"/>
    <n v="2014"/>
    <n v="2017"/>
    <n v="18.171205"/>
    <m/>
    <n v="0.13716600000000001"/>
    <n v="1.23443452"/>
    <n v="2.8980000000000001"/>
    <n v="10.233000000000001"/>
    <n v="5.47"/>
    <n v="5.4720000000000004"/>
    <s v="Estimated"/>
    <s v="Nominal"/>
    <m/>
    <s v="http://www.environment-agency.gov.uk/research/planning/118129.aspx"/>
    <s v="Medium Term Plan &amp; PPMT (Project and Programme Management Tool)"/>
    <s v="'Growth' project, which would otherwise have failed to attract sufficient funding to go ahead, has now been unlocked due to additional funding announced in November 2012. These projects are set to deliver land for development, while also creating jobs and increasing the number of households with improved protection from flooding. All projects must commence during the current Parliament. "/>
    <s v="Yes"/>
    <n v="0.13716600000000001"/>
    <n v="1.2066808602150538"/>
    <n v="2.7800241165653179"/>
    <n v="9.6428492737396621"/>
    <n v="5.0683754390312359"/>
    <n v="4.6979249205640423"/>
    <n v="13.766720250520034"/>
    <n v="9.7663003595952773"/>
    <n v="23.395854610115311"/>
  </r>
  <r>
    <x v="2"/>
    <s v="Flood"/>
    <s v="Growth Scheme"/>
    <m/>
    <m/>
    <s v="Ipswich Flood Defence Main Stage: Tidal Barrier"/>
    <m/>
    <s v="East of England"/>
    <s v="Public"/>
    <s v="No"/>
    <s v="Public"/>
    <s v="Consents Approved"/>
    <n v="2014"/>
    <n v="2017"/>
    <n v="39.982500000000002"/>
    <m/>
    <n v="0.22788233999999999"/>
    <n v="6.8220264800000008"/>
    <n v="6.1359430000000001"/>
    <n v="10.826383999999999"/>
    <n v="3.2"/>
    <n v="3.2037629999999999"/>
    <s v="Estimated"/>
    <s v="Nominal"/>
    <m/>
    <s v="http://www.environment-agency.gov.uk/research/planning/118129.aspx"/>
    <s v="Medium Term Plan &amp; PPMT (Project and Programme Management Tool)"/>
    <s v="'Growth' project, which would otherwise have failed to attract sufficient funding to go ahead, has now been unlocked due to additional funding announced in November 2012. These projects are set to deliver land for development, while also creating jobs and increasing the number of households with improved protection from flooding. All projects must commence during the current Parliament. "/>
    <s v="Yes"/>
    <n v="0.22788233999999999"/>
    <n v="6.6686475855327476"/>
    <n v="5.8861523526121964"/>
    <n v="10.202012028889541"/>
    <n v="2.9650459606764086"/>
    <n v="2.7505551968715314"/>
    <n v="22.984694307034484"/>
    <n v="5.7156011575479404"/>
    <n v="28.472413124582424"/>
  </r>
  <r>
    <x v="2"/>
    <s v="Flood"/>
    <s v="Growth scheme"/>
    <m/>
    <m/>
    <s v="Leeds City Flood Alleviation Scheme"/>
    <s v="The approved  Upper Aire Strategy considered many options for the protection of Leeds City.  The Leeds FAS developed a scheme for the River Aire in Leeds, which was approved by the EA Board in 2010.This was unaffordable.  The Secretary of State advised that more resource could be available to explore alternatives. Work  is underway on exploring alternatives so that Leeds CC and their elected members can decide which option to proceed with, and how the additional funding might be found ._x000a_"/>
    <s v="Yorkshire &amp; the Humber"/>
    <s v="Public"/>
    <s v="No"/>
    <s v="Public"/>
    <s v="Consents Approved"/>
    <n v="2014"/>
    <n v="2016"/>
    <n v="50.5"/>
    <n v="32.5"/>
    <m/>
    <n v="2.1539999999999999"/>
    <n v="9.0719999999999992"/>
    <n v="15.135999999999999"/>
    <n v="10.5"/>
    <m/>
    <s v="Estimated"/>
    <s v="Nominal"/>
    <m/>
    <s v="http://www.environment-agency.gov.uk/research/planning/118129.aspx"/>
    <s v="Medium Term Plan &amp; PPMT (Project and Programme Management Tool)"/>
    <s v="'Growth' project, which would otherwise have failed to attract sufficient funding to go ahead, has now been unlocked due to additional funding announced in November 2012. These projects are set to deliver land for development, while also creating jobs and increasing the number of households with improved protection from flooding. All projects must commence during the current Parliament. "/>
    <s v="Yes"/>
    <n v="0"/>
    <n v="2.1055718475073313"/>
    <n v="8.7026841909870818"/>
    <n v="14.2630867396974"/>
    <n v="9.7290570584694667"/>
    <n v="0"/>
    <n v="25.071342778191813"/>
    <n v="9.7290570584694667"/>
    <n v="34.800399836661278"/>
  </r>
  <r>
    <x v="2"/>
    <s v="Flood"/>
    <s v="Growth Scheme"/>
    <m/>
    <m/>
    <s v="Northwich Town Centre"/>
    <s v="Flood defence scheme to reduce flood risk in Northwich."/>
    <s v="North West"/>
    <s v="Public"/>
    <s v="No"/>
    <s v="Public"/>
    <s v="Scoping"/>
    <n v="2014"/>
    <n v="2016"/>
    <n v="4.7210000000000001"/>
    <m/>
    <n v="0.5"/>
    <n v="0.37089264"/>
    <n v="0.47299999999999998"/>
    <n v="4.0004"/>
    <m/>
    <m/>
    <s v="Estimated"/>
    <s v="Nominal"/>
    <m/>
    <s v="http://www.environment-agency.gov.uk/research/planning/118129.aspx"/>
    <s v="Medium Term Plan &amp; PPMT (Project and Programme Management Tool)"/>
    <s v="'Growth' project, which would otherwise have failed to attract sufficient funding to go ahead, has now been unlocked due to additional funding announced in November 2012. These projects are set to deliver land for development, while also creating jobs and increasing the number of households with improved protection from flooding. All projects must commence during the current Parliament. "/>
    <s v="Yes"/>
    <n v="0.5"/>
    <n v="0.36255390029325513"/>
    <n v="0.45374444690662363"/>
    <n v="3.7696916089776353"/>
    <n v="0"/>
    <n v="0"/>
    <n v="5.0859899561775137"/>
    <n v="0"/>
    <n v="4.5859899561775137"/>
  </r>
  <r>
    <x v="2"/>
    <s v="Flood"/>
    <s v="Growth scheme"/>
    <m/>
    <m/>
    <s v="Lower Derwent PAR Package"/>
    <s v="A large area of the Derby left bank is at risk of flooding, which includes 1,500 residential and 380 commercial properties in a 1% AEP flood event. 600 of the properties fall within the lowest Super Output Area. It is proposed to provide new flood defences along a new alignment set back from the river corridor  to provide a 1%AEP standard of protection throughout Derby.Derby County are doing a surface water strategy."/>
    <s v="East Midlands"/>
    <s v="Public"/>
    <s v="No"/>
    <s v="Public"/>
    <s v="Scoping"/>
    <n v="2014"/>
    <n v="2021"/>
    <n v="72.328599999999994"/>
    <n v="79.662999999999997"/>
    <n v="0.1937199"/>
    <n v="1.89665822"/>
    <n v="5.7648000000000001"/>
    <n v="14.317"/>
    <n v="36.6"/>
    <n v="31.79"/>
    <s v="Estimated"/>
    <s v="Nominal"/>
    <m/>
    <s v="http://www.environment-agency.gov.uk/research/planning/118129.aspx"/>
    <s v="Medium Term Plan &amp; PPMT (Project and Programme Management Tool)"/>
    <s v="'Growth' project, which would otherwise have failed to attract sufficient funding to go ahead, has now been unlocked due to additional funding announced in November 2012. These projects are set to deliver land for development, while also creating jobs and increasing the number of households with improved protection from flooding. All projects must commence during the current Parliament. "/>
    <s v="Yes"/>
    <n v="0.1937199"/>
    <n v="1.8540158553274682"/>
    <n v="5.5301183668653362"/>
    <n v="13.491319559477253"/>
    <n v="33.912713175236426"/>
    <n v="27.292951978203746"/>
    <n v="21.069173681670058"/>
    <n v="61.205665153440172"/>
    <n v="82.081118935110226"/>
  </r>
  <r>
    <x v="2"/>
    <s v="Flood"/>
    <s v="Growth Scheme"/>
    <m/>
    <m/>
    <s v="Salford Flood Alleviation Improvements"/>
    <m/>
    <s v="North West"/>
    <s v="Public"/>
    <s v="No"/>
    <s v="Public"/>
    <s v="Scoping"/>
    <n v="2014"/>
    <n v="2017"/>
    <n v="14.109"/>
    <m/>
    <m/>
    <n v="0.25743262"/>
    <n v="2.63"/>
    <n v="10.4"/>
    <m/>
    <m/>
    <s v="Estimated"/>
    <s v="Nominal"/>
    <m/>
    <s v="http://www.environment-agency.gov.uk/research/planning/118129.aspx"/>
    <s v="Medium Term Plan &amp; PPMT (Project and Programme Management Tool)"/>
    <s v="'Growth' project, which would otherwise have failed to attract sufficient funding to go ahead, has now been unlocked due to additional funding announced in November 2012. These projects are set to deliver land for development, while also creating jobs and increasing the number of households with improved protection from flooding. All projects must commence during the current Parliament. "/>
    <s v="Yes"/>
    <n v="0"/>
    <n v="0.2516447898338221"/>
    <n v="2.5229342396710788"/>
    <n v="9.8002181615256987"/>
    <n v="0"/>
    <n v="0"/>
    <n v="12.5747971910306"/>
    <n v="0"/>
    <n v="12.5747971910306"/>
  </r>
  <r>
    <x v="2"/>
    <s v="Flood"/>
    <s v="Growth Scheme"/>
    <m/>
    <m/>
    <s v="Sheffield Lower Don Valley Flood Protection Project"/>
    <s v="The Sheffield Lower Don Valley area was flooded in 2000 and 2007 causing significant disruption to businesses, services and power, transport and tele-communications infrastructure. This project will design and construct a series of physical measures to defend a major concentration of 325 industrial and commercial businesses from flood risk at 1 in 100 year event level."/>
    <s v="Yorkshire &amp; the Humber"/>
    <s v="Public"/>
    <s v="No"/>
    <s v="Public"/>
    <s v="Scoping"/>
    <n v="2014"/>
    <n v="2015"/>
    <n v="8.5500000000000007"/>
    <m/>
    <n v="0.19294"/>
    <n v="2.1970000000000001"/>
    <n v="6.7530000000000001"/>
    <n v="0.34499999999999997"/>
    <m/>
    <m/>
    <s v="Estimated"/>
    <s v="Nominal"/>
    <m/>
    <s v="http://www.environment-agency.gov.uk/research/planning/118129.aspx"/>
    <s v="Medium Term Plan &amp; PPMT (Project and Programme Management Tool)"/>
    <s v="'Growth' project, which would otherwise have failed to attract sufficient funding to go ahead, has now been unlocked due to additional funding announced in November 2012. These projects are set to deliver land for development, while also creating jobs and increasing the number of households with improved protection from flooding. All projects must commence during the current Parliament. "/>
    <s v="Yes"/>
    <n v="0.19294"/>
    <n v="2.1476050830889544"/>
    <n v="6.4780893233835712"/>
    <n v="0.3251033909352275"/>
    <n v="0"/>
    <n v="0"/>
    <n v="9.1437377974077538"/>
    <n v="0"/>
    <n v="8.9507977974077537"/>
  </r>
  <r>
    <x v="2"/>
    <s v="Flood"/>
    <s v="Growth Scheme"/>
    <m/>
    <m/>
    <s v="Skipton Flood Alleviation Scheme"/>
    <s v="Preparation of PAR to provide a prefered option for reducing flood risk in Skipton.  Current flood risk is from Eller Beck, Waller Hill Beck and Ings Beck where over 120 properties are at risk of flooding from 1 in 200 year event.  Current standard of protection is below 1 in 10 year standard."/>
    <s v="Yorkshire &amp; the Humber"/>
    <s v="Public"/>
    <s v="No"/>
    <s v="Public"/>
    <s v="Scoping"/>
    <n v="2014"/>
    <n v="2015"/>
    <n v="9.7693999999999992"/>
    <m/>
    <m/>
    <n v="0.95561096000000001"/>
    <n v="4.9144551399999994"/>
    <n v="3.23814286"/>
    <m/>
    <m/>
    <s v="Estimated"/>
    <s v="Nominal"/>
    <m/>
    <s v="http://www.environment-agency.gov.uk/research/planning/118129.aspx"/>
    <s v="Medium Term Plan &amp; PPMT (Project and Programme Management Tool)"/>
    <s v="'Growth' project, which would otherwise have failed to attract sufficient funding to go ahead, has now been unlocked due to additional funding announced in November 2012. These projects are set to deliver land for development, while also creating jobs and increasing the number of households with improved protection from flooding. All projects must commence during the current Parliament. "/>
    <s v="Yes"/>
    <n v="0"/>
    <n v="0.93412606060606074"/>
    <n v="4.7143905483017194"/>
    <n v="3.0513948525179582"/>
    <n v="0"/>
    <n v="0"/>
    <n v="8.6999114614257387"/>
    <n v="0"/>
    <n v="8.6999114614257387"/>
  </r>
  <r>
    <x v="2"/>
    <s v="Flood"/>
    <s v="Other capital projects"/>
    <s v="Anglian Central RFCC"/>
    <n v="26"/>
    <m/>
    <m/>
    <s v="East of England"/>
    <s v="Public"/>
    <s v="No"/>
    <s v="Public"/>
    <s v="Active Programme"/>
    <s v="various"/>
    <s v="various"/>
    <n v="28.086127507116402"/>
    <n v="27.276427507116399"/>
    <n v="4.76"/>
    <n v="3.5405850000000001"/>
    <n v="3.82464"/>
    <n v="1.82575"/>
    <n v="3.9552499999999999"/>
    <n v="0.92700000000000005"/>
    <s v="Estimated"/>
    <s v="Nominal"/>
    <m/>
    <s v="http://www.environment-agency.gov.uk/research/planning/118129.aspx"/>
    <s v="5 yr plan"/>
    <s v="Other Capital Projects,  such as flood warning projects, complying with statutory requirements, including H&amp;S, and other capital works, such as bridges and coastal monitoring, grouped by RFCC area. Cash flows and allocations are indicative and subject to change."/>
    <m/>
    <n v="4.76"/>
    <n v="3.4609824046920821"/>
    <n v="3.6689411446447129"/>
    <n v="1.7204565681159176"/>
    <n v="3.6648431362391767"/>
    <n v="0.79586557042450057"/>
    <n v="13.610380117452712"/>
    <n v="4.4607087066636772"/>
    <n v="13.311088824116387"/>
  </r>
  <r>
    <x v="2"/>
    <s v="Flood"/>
    <s v="Other capital projects"/>
    <s v="Anglian Eastern RFCC"/>
    <n v="20"/>
    <m/>
    <m/>
    <s v="East of England"/>
    <s v="Public"/>
    <s v="No"/>
    <s v="Public"/>
    <s v="Active Programme"/>
    <s v="various"/>
    <s v="various"/>
    <n v="40.893786765396648"/>
    <n v="40.066966765396643"/>
    <n v="13.13"/>
    <n v="3.3774899999999999"/>
    <n v="4.100950000000001"/>
    <n v="3.8049500000000003"/>
    <n v="13.549758000000002"/>
    <n v="3.510392"/>
    <s v="Estimated"/>
    <s v="Nominal"/>
    <m/>
    <s v="http://www.environment-agency.gov.uk/research/planning/118129.aspx"/>
    <s v="5 yr plan"/>
    <s v="Other Capital Projects,  such as flood warning projects, complying with statutory requirements, including H&amp;S, and other capital works, such as bridges and coastal monitoring, grouped by RFCC area. Cash flows and allocations are indicative and subject to change."/>
    <m/>
    <n v="13.13"/>
    <n v="3.3015542521994132"/>
    <n v="3.9340027263038451"/>
    <n v="3.5855134705478084"/>
    <n v="12.554892258138393"/>
    <n v="3.0138081245885688"/>
    <n v="23.95107044905107"/>
    <n v="15.568700382726963"/>
    <n v="26.38977083177803"/>
  </r>
  <r>
    <x v="2"/>
    <s v="Flood"/>
    <s v="Other capital projects"/>
    <s v="Anglian Northern RFCC"/>
    <n v="18"/>
    <m/>
    <m/>
    <s v="East of England"/>
    <s v="Public"/>
    <s v="No"/>
    <s v="Public"/>
    <s v="Active Programme"/>
    <s v="various"/>
    <s v="various"/>
    <n v="26.211649494259156"/>
    <n v="22.628349494259158"/>
    <n v="3.41"/>
    <n v="3.6503950000000001"/>
    <n v="4.5228799999999998"/>
    <n v="3.3975500000000003"/>
    <n v="8.1674500000000005"/>
    <n v="1.35"/>
    <s v="Estimated"/>
    <s v="Nominal"/>
    <m/>
    <s v="http://www.environment-agency.gov.uk/research/planning/118129.aspx"/>
    <s v="5 yr plan"/>
    <s v="Other Capital Projects,  such as flood warning projects, complying with statutory requirements, including H&amp;S, and other capital works, such as bridges and coastal monitoring, grouped by RFCC area. Cash flows and allocations are indicative and subject to change."/>
    <m/>
    <n v="3.41"/>
    <n v="3.5683235581622683"/>
    <n v="4.338756203012748"/>
    <n v="3.2016087706434271"/>
    <n v="7.5677701973520426"/>
    <n v="1.1590275297444184"/>
    <n v="14.518688531818443"/>
    <n v="8.7267977270964607"/>
    <n v="19.835486258914901"/>
  </r>
  <r>
    <x v="2"/>
    <s v="Flood"/>
    <s v="Other capital projects"/>
    <s v="North West RFCC"/>
    <n v="9"/>
    <m/>
    <m/>
    <s v="North West"/>
    <s v="Public"/>
    <s v="No"/>
    <s v="Public"/>
    <s v="Active Programme"/>
    <s v="various"/>
    <s v="various"/>
    <n v="33.186199999999999"/>
    <n v="32.941199999999995"/>
    <n v="6.14"/>
    <n v="1.9967000000000001"/>
    <n v="1.5572000000000001"/>
    <n v="1.7230999999999999"/>
    <n v="9.6902999999999988"/>
    <n v="12.644"/>
    <s v="Estimated"/>
    <s v="Nominal"/>
    <m/>
    <s v="http://www.environment-agency.gov.uk/research/planning/118129.aspx"/>
    <s v="5 yr plan"/>
    <s v="Other Capital Projects,  such as flood warning projects, complying with statutory requirements, including H&amp;S, and other capital works, such as bridges and coastal monitoring, grouped by RFCC area. Cash flows and allocations are indicative and subject to change."/>
    <m/>
    <n v="6.14"/>
    <n v="1.9518084066471166"/>
    <n v="1.4938072996257812"/>
    <n v="1.62372653020432"/>
    <n v="8.978807772732063"/>
    <n v="10.85536598969513"/>
    <n v="11.209342236477216"/>
    <n v="19.834173762427191"/>
    <n v="24.903515998904407"/>
  </r>
  <r>
    <x v="2"/>
    <s v="Flood"/>
    <s v="Other capital projects"/>
    <s v="Northumbria RFCC"/>
    <n v="8"/>
    <m/>
    <m/>
    <s v="North East"/>
    <s v="Public"/>
    <s v="No"/>
    <s v="Public"/>
    <s v="Active Programme"/>
    <s v="various"/>
    <s v="various"/>
    <n v="14.022"/>
    <n v="7.577"/>
    <n v="0.92"/>
    <n v="3.0998999999999999"/>
    <n v="1.2832999999999999"/>
    <n v="1.0575999999999999"/>
    <n v="2.4707999999999997"/>
    <n v="0.35199999999999998"/>
    <s v="Estimated"/>
    <s v="Nominal"/>
    <m/>
    <s v="http://www.environment-agency.gov.uk/research/planning/118129.aspx"/>
    <s v="5 yr plan"/>
    <s v="Other Capital Projects,  such as flood warning projects, complying with statutory requirements, including H&amp;S, and other capital works, such as bridges and coastal monitoring, grouped by RFCC area. Cash flows and allocations are indicative and subject to change."/>
    <m/>
    <n v="0.92"/>
    <n v="3.0302052785923754"/>
    <n v="1.2310576082775266"/>
    <n v="0.9966068007336133"/>
    <n v="2.2893861123872719"/>
    <n v="0.3022056966444705"/>
    <n v="6.1778696876035157"/>
    <n v="2.5915918090317422"/>
    <n v="7.8494614966352589"/>
  </r>
  <r>
    <x v="2"/>
    <s v="Flood"/>
    <s v="Other capital projects"/>
    <s v="Severn &amp; Wye RFCC"/>
    <n v="1"/>
    <m/>
    <m/>
    <s v="West Midlands"/>
    <s v="Public"/>
    <s v="No"/>
    <s v="Public"/>
    <s v="Active Programme"/>
    <s v="various"/>
    <s v="various"/>
    <n v="4.9862470588235288"/>
    <n v="4.9082470588235294"/>
    <n v="6.71"/>
    <n v="1.8739267379679145"/>
    <n v="1.3802058823529413"/>
    <n v="0.3367048128342246"/>
    <n v="0.61011443850267366"/>
    <m/>
    <s v="Estimated"/>
    <s v="Nominal"/>
    <m/>
    <s v="http://www.environment-agency.gov.uk/research/planning/118129.aspx"/>
    <s v="5 yr plan"/>
    <s v="Other Capital Projects,  such as flood warning projects, complying with statutory requirements, including H&amp;S, and other capital works, such as bridges and coastal monitoring, grouped by RFCC area. Cash flows and allocations are indicative and subject to change."/>
    <m/>
    <n v="6.71"/>
    <n v="1.8317954427838852"/>
    <n v="1.3240185088911285"/>
    <n v="0.31728659825106531"/>
    <n v="0.56531792232272116"/>
    <n v="0"/>
    <n v="10.183100549926079"/>
    <n v="0.56531792232272116"/>
    <n v="4.038418472248801"/>
  </r>
  <r>
    <x v="2"/>
    <s v="Flood"/>
    <s v="Other capital projects"/>
    <s v="South West RFCC"/>
    <n v="20"/>
    <m/>
    <m/>
    <s v="South West"/>
    <s v="Public"/>
    <s v="No"/>
    <s v="Public"/>
    <s v="Active Programme"/>
    <s v="various"/>
    <s v="various"/>
    <n v="17.605804423283672"/>
    <n v="17.485804423283671"/>
    <n v="2.81"/>
    <n v="1.4901569518716575"/>
    <n v="1.4470275764091538"/>
    <n v="1.0018732983342875"/>
    <n v="6.3338198950028621"/>
    <n v="6.1348000000000003"/>
    <s v="Estimated"/>
    <s v="Nominal"/>
    <m/>
    <s v="http://www.environment-agency.gov.uk/research/planning/118129.aspx"/>
    <s v="5 yr plan"/>
    <s v="Other Capital Projects,  such as flood warning projects, complying with statutory requirements, including H&amp;S, and other capital works, such as bridges and coastal monitoring, grouped by RFCC area. Cash flows and allocations are indicative and subject to change."/>
    <m/>
    <n v="2.81"/>
    <n v="1.4566539118980035"/>
    <n v="1.3881199309014876"/>
    <n v="0.94409393210416714"/>
    <n v="5.8687709672906596"/>
    <n v="5.2669645107230059"/>
    <n v="6.5988677749036579"/>
    <n v="11.135735478013665"/>
    <n v="14.924603252917324"/>
  </r>
  <r>
    <x v="2"/>
    <s v="Flood"/>
    <s v="Other capital projects"/>
    <s v="Southern RFCC"/>
    <n v="25"/>
    <m/>
    <m/>
    <s v="South East"/>
    <s v="Public"/>
    <s v="No"/>
    <s v="Public"/>
    <s v="Active Programme"/>
    <s v="various"/>
    <s v="various"/>
    <n v="79.713475365256457"/>
    <n v="61.675475365256453"/>
    <n v="4.5599999999999996"/>
    <n v="5.0230441554646408"/>
    <n v="3.9028555230859148"/>
    <n v="3.8988646405610754"/>
    <n v="41.239175686732906"/>
    <n v="22.644800000000004"/>
    <s v="Estimated"/>
    <s v="Nominal"/>
    <m/>
    <s v="http://www.environment-agency.gov.uk/research/planning/118129.aspx"/>
    <s v="5 yr plan"/>
    <s v="Other Capital Projects,  such as flood warning projects, complying with statutory requirements, including H&amp;S, and other capital works, such as bridges and coastal monitoring, grouped by RFCC area. Cash flows and allocations are indicative and subject to change."/>
    <m/>
    <n v="4.5599999999999996"/>
    <n v="4.9101115889194924"/>
    <n v="3.7439725595752216"/>
    <n v="3.6740119288227899"/>
    <n v="38.211266028616301"/>
    <n v="19.441441930041783"/>
    <n v="16.888096077317503"/>
    <n v="57.652707958658084"/>
    <n v="69.980804035975581"/>
  </r>
  <r>
    <x v="2"/>
    <s v="Flood"/>
    <s v="Other capital projects"/>
    <s v="Thames RFCC"/>
    <n v="31"/>
    <m/>
    <m/>
    <s v="South East"/>
    <s v="Public"/>
    <s v="No"/>
    <s v="Public"/>
    <s v="Active Programme"/>
    <s v="various"/>
    <s v="various"/>
    <n v="16.54760963168825"/>
    <n v="15.694809631688251"/>
    <n v="2.1800000000000002"/>
    <n v="1.4678499999999999"/>
    <n v="1.421030657940062"/>
    <n v="2.2035306579400622"/>
    <n v="7.5271919738201865"/>
    <n v="0.71440000000000015"/>
    <s v="Estimated"/>
    <s v="Nominal"/>
    <m/>
    <s v="http://www.environment-agency.gov.uk/research/planning/118129.aspx"/>
    <s v="5 yr plan"/>
    <s v="Other Capital Projects,  such as flood warning projects, complying with statutory requirements, including H&amp;S, and other capital works, such as bridges and coastal monitoring, grouped by RFCC area. Cash flows and allocations are indicative and subject to change."/>
    <m/>
    <n v="2.1800000000000002"/>
    <n v="1.4348484848484848"/>
    <n v="1.3631813317639936"/>
    <n v="2.076450112829122"/>
    <n v="6.9745219241285712"/>
    <n v="0.61334019796252781"/>
    <n v="7.0544799294415999"/>
    <n v="7.5878621220910993"/>
    <n v="12.462342051532699"/>
  </r>
  <r>
    <x v="2"/>
    <s v="Flood"/>
    <s v="Other capital projects"/>
    <s v="Trent RFCC"/>
    <n v="4"/>
    <m/>
    <m/>
    <s v="East Midlands"/>
    <s v="Public"/>
    <s v="No"/>
    <s v="Public"/>
    <s v="Active Programme"/>
    <s v="various"/>
    <s v="various"/>
    <n v="11.475868486373669"/>
    <n v="11.30086848637367"/>
    <m/>
    <n v="1.5209824863736683"/>
    <n v="2.5609999999999999"/>
    <n v="2.3210000000000002"/>
    <n v="5.7270000000000003"/>
    <n v="1.02"/>
    <s v="Estimated"/>
    <s v="Nominal"/>
    <m/>
    <s v="http://www.environment-agency.gov.uk/research/planning/118129.aspx"/>
    <s v="5 yr plan"/>
    <s v="Other Capital Projects,  such as flood warning projects, complying with statutory requirements, including H&amp;S, and other capital works, such as bridges and coastal monitoring, grouped by RFCC area. Cash flows and allocations are indicative and subject to change."/>
    <m/>
    <n v="0"/>
    <n v="1.4867863991922465"/>
    <n v="2.4567431892766667"/>
    <n v="2.1871448416251105"/>
    <n v="5.3065056927480612"/>
    <n v="0.87570968914022718"/>
    <n v="6.1306744300940235"/>
    <n v="6.1822153818882883"/>
    <n v="12.312889811982313"/>
  </r>
  <r>
    <x v="2"/>
    <s v="Flood"/>
    <s v="Other capital projects"/>
    <s v="Wessex RFCC"/>
    <n v="17"/>
    <m/>
    <m/>
    <s v="South West"/>
    <s v="Public"/>
    <s v="No"/>
    <s v="Public"/>
    <s v="Active Programme"/>
    <s v="various"/>
    <s v="various"/>
    <n v="51.833797202234116"/>
    <n v="40.553797202234115"/>
    <n v="4.8499999999999996"/>
    <n v="3.9055221546957872"/>
    <n v="4.140479530558185"/>
    <n v="4.4567257606766066"/>
    <n v="13.104795516980143"/>
    <n v="22.907"/>
    <s v="Estimated"/>
    <s v="Nominal"/>
    <m/>
    <s v="http://www.environment-agency.gov.uk/research/planning/118129.aspx"/>
    <s v="5 yr plan"/>
    <s v="Other Capital Projects,  such as flood warning projects, complying with statutory requirements, including H&amp;S, and other capital works, such as bridges and coastal monitoring, grouped by RFCC area. Cash flows and allocations are indicative and subject to change."/>
    <m/>
    <n v="4.8499999999999996"/>
    <n v="3.8177147162226657"/>
    <n v="3.9719230328146309"/>
    <n v="4.1997004558386841"/>
    <n v="12.142600316597589"/>
    <n v="19.666550832485473"/>
    <n v="16.839338204875979"/>
    <n v="31.809151149083064"/>
    <n v="43.798489353959042"/>
  </r>
  <r>
    <x v="2"/>
    <s v="Flood"/>
    <s v="Other capital projects"/>
    <s v="Yorkshire RFCC"/>
    <n v="15"/>
    <m/>
    <m/>
    <s v="Yorkshire &amp; the Humber"/>
    <s v="Public"/>
    <s v="No"/>
    <s v="Public"/>
    <s v="Active Programme"/>
    <s v="various"/>
    <s v="various"/>
    <n v="42.175170000000001"/>
    <n v="29.561170000000001"/>
    <n v="7.81"/>
    <n v="2.2916999999999996"/>
    <n v="14.3375"/>
    <n v="1.45479"/>
    <n v="13.029770000000001"/>
    <n v="6.4109000000000007"/>
    <s v="Estimated"/>
    <s v="Nominal"/>
    <m/>
    <s v="http://www.environment-agency.gov.uk/research/planning/118129.aspx"/>
    <s v="5 yr plan"/>
    <s v="Other Capital Projects,  such as flood warning projects, complying with statutory requirements, including H&amp;S, and other capital works, such as bridges and coastal monitoring, grouped by RFCC area. Cash flows and allocations are indicative and subject to change."/>
    <m/>
    <n v="7.81"/>
    <n v="2.2401759530791785"/>
    <n v="13.753828768549084"/>
    <n v="1.3708903249236513"/>
    <n v="12.073083408450829"/>
    <n v="5.5040071040285126"/>
    <n v="25.17489504655191"/>
    <n v="17.577090512479341"/>
    <n v="34.941985559031252"/>
  </r>
  <r>
    <x v="2"/>
    <s v="Flood"/>
    <s v="Other capital projects &gt;£50m"/>
    <m/>
    <m/>
    <s v="Boston Barrage/Barrier Works"/>
    <s v="A multi functional barrier within Boston Haven: dual function of partial tidal exclusion barrage for water level control to enable safe navigation and tidal surge barrier."/>
    <s v="East of England"/>
    <s v="Public"/>
    <s v="No"/>
    <s v="Public/Private"/>
    <s v="In Construction"/>
    <n v="2013"/>
    <n v="2017"/>
    <n v="64.386399999999995"/>
    <n v="64.386399999999995"/>
    <n v="0.6"/>
    <n v="1.6279999999999999"/>
    <n v="3.6"/>
    <n v="3.1"/>
    <n v="56.795999999999999"/>
    <n v="1.24"/>
    <s v="Estimated"/>
    <s v="Nominal"/>
    <m/>
    <s v="http://www.environment-agency.gov.uk/research/planning/118129.aspx"/>
    <s v="5 yr plan"/>
    <m/>
    <m/>
    <n v="0.6"/>
    <n v="1.5913978494623655"/>
    <n v="3.4534461075345564"/>
    <n v="2.92121887507016"/>
    <n v="52.625859494555414"/>
    <n v="1.0645882495430212"/>
    <n v="8.5660628320670824"/>
    <n v="53.690447744098435"/>
    <n v="61.656510576165516"/>
  </r>
  <r>
    <x v="2"/>
    <s v="Flood"/>
    <s v="Other capital projects &gt;£50m"/>
    <m/>
    <m/>
    <s v="Broadland PPPP"/>
    <s v="The project covers all matters related to flood defence services associated with the Broadland tidal river system, including maintenance, emergency response, strategic planning, design and improvement works."/>
    <s v="East of England"/>
    <s v="Public"/>
    <s v="No"/>
    <s v="Public/Private"/>
    <s v="In Construction"/>
    <n v="2002"/>
    <n v="2020"/>
    <n v="151.642"/>
    <n v="151.642"/>
    <n v="9.4"/>
    <n v="7.399"/>
    <n v="8.1"/>
    <n v="2.02"/>
    <n v="14.224200000000002"/>
    <n v="4.4708000000000006"/>
    <s v="Bid"/>
    <s v="Nominal"/>
    <m/>
    <s v="http://www.environment-agency.gov.uk/research/planning/118129.aspx"/>
    <s v="5 yr plan"/>
    <s v="Broadlands FA Strategy"/>
    <m/>
    <n v="9.4"/>
    <n v="7.2326490713587486"/>
    <n v="7.770253741952752"/>
    <n v="1.9035039121424915"/>
    <n v="13.17981461057918"/>
    <n v="3.8383557629491452"/>
    <n v="26.306406725453989"/>
    <n v="17.018170373528324"/>
    <n v="33.924577098982319"/>
  </r>
  <r>
    <x v="2"/>
    <s v="Flood"/>
    <s v="Other capital projects &gt;£50m"/>
    <m/>
    <m/>
    <s v="Pevensey Bay Sea Defences PPP"/>
    <s v="25 Year Public Private Partnership (PPP) project running from June 2000 to May 2025 for improvement (carried out 2002) and maintenance of 9km of sea defences"/>
    <s v="South East"/>
    <s v="Public"/>
    <s v="No"/>
    <s v="Public/Private"/>
    <s v="In Construction"/>
    <n v="2000"/>
    <n v="2025"/>
    <n v="50.488799999997994"/>
    <n v="45.317799999997995"/>
    <n v="1.4"/>
    <n v="1.72"/>
    <n v="1.78"/>
    <n v="1.84"/>
    <n v="13.45"/>
    <n v="9.3514000000000017"/>
    <s v="Bid"/>
    <s v="Nominal"/>
    <m/>
    <s v="http://www.environment-agency.gov.uk/research/planning/118129.aspx"/>
    <s v="5 yr plan"/>
    <m/>
    <m/>
    <n v="1.4"/>
    <n v="1.6813294232649072"/>
    <n v="1.7075372420587529"/>
    <n v="1.7338847516545466"/>
    <n v="12.462458803468031"/>
    <n v="8.0285407715940416"/>
    <n v="6.5227514169782062"/>
    <n v="20.490999575062073"/>
    <n v="25.613750992040281"/>
  </r>
  <r>
    <x v="2"/>
    <s v="Flood"/>
    <s v="Other capital projects &gt;£50m"/>
    <m/>
    <m/>
    <s v="River Hamble to Portsmouth Harbour Entrance Coastal Flood and Erosion Risk Management Schemes"/>
    <s v="Fareham and Gosport's coastline is a complex mix of highly developed residential and commercial areas including Ministry of Defence land, historical landmarks, potentially contaminated land, open space, agricultural land which has experienced historical c"/>
    <s v="South East"/>
    <s v="Public"/>
    <s v="No"/>
    <s v="Public/Private"/>
    <s v="Scoping"/>
    <n v="2017"/>
    <n v="2019"/>
    <n v="53.914000000000001"/>
    <m/>
    <m/>
    <m/>
    <m/>
    <n v="0.13"/>
    <n v="12.26"/>
    <n v="41.908999999999999"/>
    <s v="Estimated"/>
    <s v="Nominal"/>
    <m/>
    <s v="http://www.environment-agency.gov.uk/research/planning/118129.aspx"/>
    <s v="5 yr plan"/>
    <m/>
    <m/>
    <n v="0"/>
    <n v="0"/>
    <n v="0"/>
    <n v="0.12250272701907124"/>
    <n v="11.359832336841491"/>
    <n v="35.980507217821348"/>
    <n v="0.12250272701907124"/>
    <n v="47.34033955466284"/>
    <n v="47.462842281681908"/>
  </r>
  <r>
    <x v="2"/>
    <s v="Flood"/>
    <s v="Other capital projects &gt;£50m"/>
    <m/>
    <m/>
    <s v="Thames Estuary Phase 1"/>
    <s v="Works arising from TE2100 Strategy"/>
    <s v="South East"/>
    <s v="Public"/>
    <s v="No"/>
    <s v="Public/Private"/>
    <s v="Scoping"/>
    <n v="2014"/>
    <n v="2024"/>
    <n v="314.48"/>
    <n v="314.48"/>
    <m/>
    <m/>
    <n v="1.37"/>
    <n v="7.35"/>
    <n v="168.96"/>
    <n v="136.80000000000001"/>
    <s v="Estimated"/>
    <s v="Nominal"/>
    <m/>
    <s v="http://www.environment-agency.gov.uk/research/planning/118129.aspx"/>
    <s v="5 yr plan"/>
    <m/>
    <s v="Yes"/>
    <n v="0"/>
    <n v="0"/>
    <n v="1.3142281020339839"/>
    <n v="6.9261157199244119"/>
    <n v="156.55442672371439"/>
    <n v="117.44812301410107"/>
    <n v="8.2403438219583958"/>
    <n v="274.00254973781546"/>
    <n v="282.24289355977385"/>
  </r>
  <r>
    <x v="2"/>
    <s v="Flood"/>
    <s v="Remaining schemes and strategies by region"/>
    <s v="Anglian Central RFCC"/>
    <n v="22"/>
    <m/>
    <m/>
    <s v="East of England"/>
    <s v="Public"/>
    <s v="No"/>
    <s v="Public/Private"/>
    <s v="Active Programme"/>
    <s v="various"/>
    <s v="various"/>
    <n v="77.282971434457224"/>
    <n v="51.052038434457224"/>
    <n v="4.79"/>
    <n v="9.420839803410221"/>
    <n v="6.4910219227921733"/>
    <n v="5.4314319684376366"/>
    <n v="20.968403617286437"/>
    <n v="25.020636744186046"/>
    <s v="Estimated"/>
    <s v="Nominal"/>
    <m/>
    <s v="http://www.environment-agency.gov.uk/research/planning/118129.aspx"/>
    <s v="5 yr plan"/>
    <s v="FCERM schemes (works on the ground) and long-term strategies within the given RFCC area, with indicative cash flows and allocations subject to change."/>
    <m/>
    <n v="4.79"/>
    <n v="9.209032065894645"/>
    <n v="6.2267762203300281"/>
    <n v="5.1181940596320965"/>
    <n v="19.428837639771171"/>
    <n v="21.481190220923242"/>
    <n v="25.344002345856769"/>
    <n v="40.910027860694413"/>
    <n v="61.464030206551179"/>
  </r>
  <r>
    <x v="2"/>
    <s v="Flood"/>
    <s v="Remaining schemes and strategies by region"/>
    <s v="Anglian Eastern RFCC"/>
    <n v="21"/>
    <m/>
    <m/>
    <s v="East of England"/>
    <s v="Public"/>
    <s v="No"/>
    <s v="Public/Private"/>
    <s v="Active Programme"/>
    <s v="various"/>
    <s v="various"/>
    <n v="268.31144"/>
    <n v="216.27323999999999"/>
    <n v="19.05"/>
    <n v="33.447438007272503"/>
    <n v="30.199780927076144"/>
    <n v="24.594639427357855"/>
    <n v="58.14950065517516"/>
    <n v="57.83728"/>
    <s v="Estimated"/>
    <s v="Nominal"/>
    <m/>
    <s v="http://www.environment-agency.gov.uk/research/planning/118129.aspx"/>
    <s v="5 yr plan"/>
    <s v="FCERM schemes (works on the ground) and long-term strategies within the given RFCC area, with indicative cash flows and allocations subject to change."/>
    <m/>
    <n v="19.05"/>
    <n v="32.695442822358267"/>
    <n v="28.970365525279846"/>
    <n v="23.176233845400816"/>
    <n v="53.879981885305405"/>
    <n v="49.655555381878706"/>
    <n v="103.89204219303893"/>
    <n v="103.53553726718411"/>
    <n v="188.37757946022305"/>
  </r>
  <r>
    <x v="2"/>
    <s v="Flood"/>
    <s v="Remaining schemes and strategies by region"/>
    <s v="Anglian Northern RFCC"/>
    <n v="21"/>
    <m/>
    <m/>
    <s v="East of England"/>
    <s v="Public"/>
    <s v="No"/>
    <s v="Public/Private"/>
    <s v="Active Programme"/>
    <s v="various"/>
    <s v="various"/>
    <n v="284.82005400000003"/>
    <n v="255.96214169999999"/>
    <n v="22.14"/>
    <n v="34.131674729477702"/>
    <n v="33.52800738785767"/>
    <n v="11.888617434346338"/>
    <n v="94.215058622928439"/>
    <n v="64.927440000000004"/>
    <s v="Estimated"/>
    <s v="Nominal"/>
    <m/>
    <s v="http://www.environment-agency.gov.uk/research/planning/118129.aspx"/>
    <s v="5 yr plan"/>
    <s v="FCERM schemes (works on the ground) and long-term strategies within the given RFCC area, with indicative cash flows and allocations subject to change."/>
    <m/>
    <n v="22.14"/>
    <n v="33.364295923243112"/>
    <n v="32.163101835274141"/>
    <n v="11.202985047645388"/>
    <n v="87.29749343900157"/>
    <n v="55.742733626539959"/>
    <n v="98.870382806162638"/>
    <n v="143.04022706554153"/>
    <n v="219.77060987170415"/>
  </r>
  <r>
    <x v="2"/>
    <s v="Flood"/>
    <s v="Remaining schemes and strategies by region"/>
    <s v="North West RFCC"/>
    <n v="36"/>
    <m/>
    <m/>
    <s v="North West"/>
    <s v="Public"/>
    <s v="No"/>
    <s v="Public/Private"/>
    <s v="Active Programme"/>
    <s v="various"/>
    <s v="various"/>
    <n v="270.27600000000001"/>
    <n v="246.78299999999999"/>
    <n v="15.98"/>
    <n v="26.061932956346897"/>
    <n v="33.366507869882049"/>
    <n v="20.178874194294522"/>
    <n v="104.02128167499211"/>
    <n v="49.514400000000002"/>
    <s v="Estimated"/>
    <s v="Nominal"/>
    <m/>
    <s v="http://www.environment-agency.gov.uk/research/planning/118129.aspx"/>
    <s v="5 yr plan"/>
    <s v="FCERM schemes (works on the ground) and long-term strategies within the given RFCC area, with indicative cash flows and allocations subject to change."/>
    <m/>
    <n v="15.98"/>
    <n v="25.475985294571746"/>
    <n v="32.008176868129247"/>
    <n v="19.015131669044944"/>
    <n v="96.383712829630724"/>
    <n v="42.510039050945949"/>
    <n v="92.479293831745949"/>
    <n v="138.89375188057667"/>
    <n v="215.39304571232262"/>
  </r>
  <r>
    <x v="2"/>
    <s v="Flood"/>
    <s v="Remaining schemes and strategies by region"/>
    <s v="Northumbria RFCC"/>
    <n v="28"/>
    <m/>
    <m/>
    <s v="North East"/>
    <s v="Public"/>
    <s v="No"/>
    <s v="Public/Private"/>
    <s v="Active Programme"/>
    <s v="various"/>
    <s v="various"/>
    <n v="164.7517"/>
    <n v="102.6737"/>
    <n v="26.68"/>
    <n v="22.454743275810703"/>
    <n v="39.324106835884329"/>
    <n v="11.641173407826793"/>
    <n v="32.806820299766272"/>
    <n v="11.115200000000002"/>
    <s v="Estimated"/>
    <s v="Nominal"/>
    <m/>
    <s v="http://www.environment-agency.gov.uk/research/planning/118129.aspx"/>
    <s v="5 yr plan"/>
    <s v="FCERM schemes (works on the ground) and long-term strategies within the given RFCC area, with indicative cash flows and allocations subject to change."/>
    <m/>
    <n v="26.68"/>
    <n v="21.949895675279279"/>
    <n v="37.723245467960496"/>
    <n v="10.969811447389821"/>
    <n v="30.398040628893373"/>
    <n v="9.5428317026778977"/>
    <n v="97.322952590629598"/>
    <n v="39.940872331571271"/>
    <n v="110.58382492220085"/>
  </r>
  <r>
    <x v="2"/>
    <s v="Flood"/>
    <s v="Remaining schemes and strategies by region"/>
    <s v="Severn &amp; Wye RFCC"/>
    <n v="19"/>
    <m/>
    <m/>
    <s v="West Midlands"/>
    <s v="Public"/>
    <s v="No"/>
    <s v="Public/Private"/>
    <s v="Active Programme"/>
    <s v="various"/>
    <s v="various"/>
    <n v="16.8659"/>
    <n v="5.9658999999999995"/>
    <n v="14.59"/>
    <n v="3.2052191015908584"/>
    <n v="1.3182118501455882"/>
    <n v="0.8404782588074563"/>
    <n v="7.7681313129613407"/>
    <n v="2.4292000000000002"/>
    <s v="Estimated"/>
    <s v="Nominal"/>
    <m/>
    <s v="http://www.environment-agency.gov.uk/research/planning/118129.aspx"/>
    <s v="5 yr plan"/>
    <s v="FCERM schemes (works on the ground) and long-term strategies within the given RFCC area, with indicative cash flows and allocations subject to change."/>
    <m/>
    <n v="14.59"/>
    <n v="3.1331565020438501"/>
    <n v="1.264548217442002"/>
    <n v="0.79200675926272401"/>
    <n v="7.197770741093735"/>
    <n v="2.0855627224112157"/>
    <n v="19.779711478748574"/>
    <n v="9.2833334635049507"/>
    <n v="14.473044942253527"/>
  </r>
  <r>
    <x v="2"/>
    <s v="Flood"/>
    <s v="Remaining schemes and strategies by region"/>
    <s v="South West RFCC"/>
    <n v="25"/>
    <m/>
    <m/>
    <s v="South West"/>
    <s v="Public"/>
    <s v="No"/>
    <s v="Public/Private"/>
    <s v="Active Programme"/>
    <s v="various"/>
    <s v="various"/>
    <n v="137.00032897188956"/>
    <n v="86.724828971889565"/>
    <n v="5.03"/>
    <n v="13.427904777285667"/>
    <n v="11.099197071480059"/>
    <n v="16.753080362942175"/>
    <n v="67.16320015211852"/>
    <n v="25.793228971889562"/>
    <s v="Estimated"/>
    <s v="Nominal"/>
    <m/>
    <s v="http://www.environment-agency.gov.uk/research/planning/118129.aspx"/>
    <s v="5 yr plan"/>
    <s v="FCERM schemes (works on the ground) and long-term strategies within the given RFCC area, with indicative cash flows and allocations subject to change."/>
    <m/>
    <n v="5.03"/>
    <n v="13.126006624912675"/>
    <n v="10.6473552564616"/>
    <n v="15.78690792638514"/>
    <n v="62.231867286606303"/>
    <n v="22.144490710682462"/>
    <n v="44.590269807759412"/>
    <n v="84.376357997288764"/>
    <n v="123.93662780504818"/>
  </r>
  <r>
    <x v="2"/>
    <s v="Flood"/>
    <s v="Remaining schemes and strategies by region"/>
    <s v="Southern RFCC"/>
    <n v="56"/>
    <m/>
    <m/>
    <s v="South East"/>
    <s v="Public"/>
    <s v="No"/>
    <s v="Public/Private"/>
    <s v="Active Programme"/>
    <s v="various"/>
    <s v="various"/>
    <n v="779.4483446285584"/>
    <n v="501.67882372051616"/>
    <n v="36.590000000000003"/>
    <n v="34.084046865958378"/>
    <n v="67.279599431540149"/>
    <n v="58.564212995636218"/>
    <n v="312.27761086969031"/>
    <n v="200.98447544675426"/>
    <s v="Estimated"/>
    <s v="Nominal"/>
    <m/>
    <s v="http://www.environment-agency.gov.uk/research/planning/118129.aspx"/>
    <s v="5 yr plan"/>
    <s v="FCERM schemes (works on the ground) and long-term strategies within the given RFCC area, with indicative cash flows and allocations subject to change."/>
    <m/>
    <n v="36.590000000000003"/>
    <n v="33.317738871904574"/>
    <n v="64.540686325926799"/>
    <n v="55.186736905316671"/>
    <n v="289.34920897464207"/>
    <n v="172.55299266224392"/>
    <n v="189.63516210314805"/>
    <n v="461.90220163688599"/>
    <n v="614.94736374003401"/>
  </r>
  <r>
    <x v="2"/>
    <s v="Flood"/>
    <s v="Remaining schemes and strategies by region"/>
    <s v="Thames RFCC"/>
    <n v="75"/>
    <m/>
    <m/>
    <s v="South East"/>
    <s v="Public"/>
    <s v="No"/>
    <s v="Public/Private"/>
    <s v="Active Programme"/>
    <s v="various"/>
    <s v="various"/>
    <n v="403.83512702172936"/>
    <n v="265.19644897667558"/>
    <n v="38.69"/>
    <n v="49.085466320711177"/>
    <n v="43.473123358130678"/>
    <n v="27.97114322016931"/>
    <n v="125.96383105413213"/>
    <n v="38.704472574719695"/>
    <s v="Estimated"/>
    <s v="Nominal"/>
    <m/>
    <s v="http://www.environment-agency.gov.uk/research/planning/118129.aspx"/>
    <s v="5 yr plan"/>
    <s v="FCERM schemes (works on the ground) and long-term strategies within the given RFCC area, with indicative cash flows and allocations subject to change."/>
    <m/>
    <n v="38.69"/>
    <n v="47.981883011447877"/>
    <n v="41.703357956529445"/>
    <n v="26.358010171628816"/>
    <n v="116.71517139324376"/>
    <n v="33.229295732102187"/>
    <n v="154.73325113960615"/>
    <n v="149.94446712534597"/>
    <n v="265.98771826495209"/>
  </r>
  <r>
    <x v="2"/>
    <s v="Flood"/>
    <s v="Remaining schemes and strategies by region"/>
    <s v="Trent RFCC"/>
    <n v="17"/>
    <m/>
    <m/>
    <s v="East Midlands"/>
    <s v="Public"/>
    <s v="No"/>
    <s v="Public/Private"/>
    <s v="Active Programme"/>
    <s v="various"/>
    <s v="various"/>
    <n v="304.68129999999996"/>
    <n v="224.52709999999999"/>
    <m/>
    <n v="19.57213019120255"/>
    <n v="25.280706165484268"/>
    <n v="19.930503064506972"/>
    <n v="125.29441378089737"/>
    <n v="56.861800000000002"/>
    <s v="Estimated"/>
    <s v="Nominal"/>
    <m/>
    <s v="http://www.environment-agency.gov.uk/research/planning/118129.aspx"/>
    <s v="5 yr plan"/>
    <s v="FCERM schemes (works on the ground) and long-term strategies within the given RFCC area, with indicative cash flows and allocations subject to change."/>
    <m/>
    <n v="0"/>
    <n v="19.132092073511778"/>
    <n v="24.251543417476807"/>
    <n v="18.781084432800462"/>
    <n v="116.0949048363651"/>
    <n v="48.818067845052717"/>
    <n v="62.164719923789043"/>
    <n v="164.91297268141781"/>
    <n v="227.07769260520686"/>
  </r>
  <r>
    <x v="2"/>
    <s v="Flood"/>
    <s v="Remaining schemes and strategies by region"/>
    <s v="Wessex RFCC"/>
    <n v="45"/>
    <m/>
    <m/>
    <s v="South West"/>
    <s v="Public"/>
    <s v="No"/>
    <s v="Public/Private"/>
    <s v="Active Programme"/>
    <s v="various"/>
    <s v="various"/>
    <n v="139.41905555555556"/>
    <n v="96.411599999999993"/>
    <n v="5.9"/>
    <n v="11.366400363889344"/>
    <n v="24.86774552823605"/>
    <n v="22.185432361575963"/>
    <n v="60.50301581694201"/>
    <n v="8.8673999999999999"/>
    <s v="Estimated"/>
    <s v="Nominal"/>
    <m/>
    <s v="http://www.environment-agency.gov.uk/research/planning/118129.aspx"/>
    <s v="5 yr plan"/>
    <s v="FCERM schemes (works on the ground) and long-term strategies within the given RFCC area, with indicative cash flows and allocations subject to change."/>
    <m/>
    <n v="5.9"/>
    <n v="11.110850795590759"/>
    <n v="23.85539416601296"/>
    <n v="20.905968956847762"/>
    <n v="56.060694580238987"/>
    <n v="7.6130079387078924"/>
    <n v="61.772213918451484"/>
    <n v="63.673702518946882"/>
    <n v="119.54591643739836"/>
  </r>
  <r>
    <x v="2"/>
    <s v="Flood"/>
    <s v="Remaining schemes and strategies by region"/>
    <s v="Yorkshire RFCC"/>
    <n v="48"/>
    <m/>
    <m/>
    <s v="Yorkshire &amp; the Humber"/>
    <s v="Public"/>
    <s v="No"/>
    <s v="Public/Private"/>
    <s v="Active Programme"/>
    <s v="various"/>
    <s v="various"/>
    <n v="375.97796998472631"/>
    <n v="307.486175"/>
    <n v="23.94"/>
    <n v="41.022970524326276"/>
    <n v="48.633561420615493"/>
    <n v="40.763459054084521"/>
    <n v="127.45893267948748"/>
    <n v="34.596054651393025"/>
    <s v="Estimated"/>
    <s v="Nominal"/>
    <m/>
    <s v="http://www.environment-agency.gov.uk/research/planning/118129.aspx"/>
    <s v="5 yr plan"/>
    <s v="FCERM schemes (works on the ground) and long-term strategies within the given RFCC area, with indicative cash flows and allocations subject to change."/>
    <m/>
    <n v="23.94"/>
    <n v="40.100655448999291"/>
    <n v="46.653717606546486"/>
    <n v="38.41257612965849"/>
    <n v="118.1004979667002"/>
    <n v="29.702059082597742"/>
    <n v="149.10694918520426"/>
    <n v="147.80255704929795"/>
    <n v="272.96950623450221"/>
  </r>
  <r>
    <x v="3"/>
    <s v="Research"/>
    <s v="Research"/>
    <s v="Research Partnership Investment Fund  (RPIF)"/>
    <n v="22"/>
    <m/>
    <s v="To enhance university research facilities to leverage private investment in the UK reaserch base for public benefit including economic growth."/>
    <s v="UK"/>
    <s v="Public"/>
    <s v="No"/>
    <s v="Public/Private"/>
    <s v="Active Programme"/>
    <n v="2012"/>
    <n v="2017"/>
    <n v="916.08"/>
    <n v="300"/>
    <n v="20"/>
    <n v="140"/>
    <n v="160"/>
    <m/>
    <m/>
    <m/>
    <s v="Estimated"/>
    <s v="Nominal"/>
    <m/>
    <s v="http://www.hefce.ac.uk/whatwedo/rsrch/howfundr/ukrpif201215/"/>
    <s v="BIS"/>
    <m/>
    <s v="Yes"/>
    <n v="20"/>
    <n v="136.85239491691104"/>
    <n v="153.48649366820251"/>
    <n v="0"/>
    <n v="0"/>
    <n v="0"/>
    <n v="310.33888858511352"/>
    <n v="0"/>
    <n v="290.33888858511352"/>
  </r>
  <r>
    <x v="3"/>
    <s v="Research"/>
    <s v="Research"/>
    <s v="Science and Innovation Catapult Centres"/>
    <n v="2"/>
    <m/>
    <s v="National Composite Centre and National Biologics Industrial Innovation Centre"/>
    <s v="UK"/>
    <s v="Private"/>
    <s v="No"/>
    <s v="Public/Private"/>
    <s v="Active Programme"/>
    <n v="2011"/>
    <n v="2015"/>
    <n v="66"/>
    <n v="66"/>
    <m/>
    <n v="31.58"/>
    <n v="28.4"/>
    <m/>
    <m/>
    <m/>
    <s v="Estimated"/>
    <s v="Nominal"/>
    <m/>
    <s v="https://www.innovateuk.org/uk/-/catapult-centres"/>
    <s v="BIS"/>
    <m/>
    <s v="Yes"/>
    <n v="0"/>
    <n v="30.869990224828936"/>
    <n v="27.243852626105944"/>
    <n v="0"/>
    <n v="0"/>
    <n v="0"/>
    <n v="58.11384285093488"/>
    <n v="0"/>
    <n v="58.11384285093488"/>
  </r>
  <r>
    <x v="3"/>
    <s v="Research"/>
    <s v="Research"/>
    <m/>
    <m/>
    <s v="Agri-tech Innovation Centres"/>
    <s v="£90m Government funding with co-funding from industry for these centres to support the wide scale adoption of innovation and technology across key sectors, developing skills and capability in the food and farming supply chain.   "/>
    <s v="UK"/>
    <s v="Private"/>
    <s v="No"/>
    <s v="Public/Private"/>
    <s v="Scoping"/>
    <n v="2015"/>
    <n v="2015"/>
    <n v="160"/>
    <n v="90"/>
    <m/>
    <m/>
    <m/>
    <m/>
    <n v="160"/>
    <m/>
    <s v="Estimated"/>
    <s v="Nominal"/>
    <m/>
    <s v="https://www.gov.uk/government/publications/uk-agricultural-technologies-strategy/uk-agricultural-technologies-strategy-executive-summary"/>
    <s v="BIS"/>
    <s v="Project planned and funding confirmed but at a very early stage"/>
    <s v="Yes"/>
    <n v="0"/>
    <n v="0"/>
    <n v="0"/>
    <n v="0"/>
    <n v="148.25229803382044"/>
    <n v="0"/>
    <n v="0"/>
    <n v="148.25229803382044"/>
    <n v="148.25229803382044"/>
  </r>
  <r>
    <x v="3"/>
    <s v="Research"/>
    <s v="Research"/>
    <m/>
    <m/>
    <s v="Diamond 3"/>
    <s v="Phase III expansion will create an additional 10 advanced beamlines between 2011 and 2017, which will bring the total to 32._x000a_"/>
    <s v="South East"/>
    <s v="Public"/>
    <s v="No"/>
    <s v="Public/Private"/>
    <s v="In Construction"/>
    <n v="2012"/>
    <n v="2017"/>
    <n v="112"/>
    <n v="94.6"/>
    <n v="16.7"/>
    <n v="19.899999999999999"/>
    <n v="19.2"/>
    <n v="17.2"/>
    <n v="15.8"/>
    <m/>
    <s v="Estimated"/>
    <s v="Nominal"/>
    <m/>
    <s v="http://www.diamond.ac.uk/Home/Beamlines/PhaseIII.html"/>
    <s v="BIS"/>
    <m/>
    <s v="Yes"/>
    <n v="16.7"/>
    <n v="19.452590420332353"/>
    <n v="18.418379240184301"/>
    <n v="16.2080531132925"/>
    <n v="14.639914430839768"/>
    <n v="0"/>
    <n v="70.779022773809146"/>
    <n v="14.639914430839768"/>
    <n v="68.71893720464891"/>
  </r>
  <r>
    <x v="3"/>
    <s v="Research"/>
    <s v="Research"/>
    <m/>
    <m/>
    <s v="ELIXIR"/>
    <s v="ELIXIR is a pan-European infrastructure for the sharing of biological data, funded through sustainable contributions from national member states and the European Commission."/>
    <s v="East of England"/>
    <s v="Private"/>
    <s v="No"/>
    <s v="Public"/>
    <s v="In Construction"/>
    <n v="2012"/>
    <n v="2019"/>
    <n v="75"/>
    <n v="75"/>
    <n v="22.5"/>
    <n v="5.7"/>
    <n v="15.4"/>
    <n v="5"/>
    <n v="22.6"/>
    <m/>
    <s v="Estimated"/>
    <s v="Nominal"/>
    <m/>
    <s v="http://www.elixir-europe.org/"/>
    <s v="BIS"/>
    <s v="Funding profile taken from amended business case presented to LFCF"/>
    <s v="Yes"/>
    <n v="22.5"/>
    <n v="5.5718475073313787"/>
    <n v="14.773075015564491"/>
    <n v="4.7116433468873549"/>
    <n v="20.940637097277136"/>
    <n v="0"/>
    <n v="47.556565869783228"/>
    <n v="20.940637097277136"/>
    <n v="45.99720296706036"/>
  </r>
  <r>
    <x v="3"/>
    <s v="Research"/>
    <s v="Research"/>
    <m/>
    <m/>
    <s v="Francis Crick Institute"/>
    <s v="The Francis Crick Institute (formerly UKCMRI) is a joint venture between the UK's largest biomedical research and academic institutions: The Medical Research Council (MRC), Cancer Research UK (CRUK), the Wellcome Trust, University College London,  Kings College, London and Imperial College, London.  A new research Institution will be established involving the construction of a new facility located close to St Pancras station, London.  This facility will accommodate 1,268 scientists when fully operational.  The National Institute for Medical Research (NIMR) will be closed.  "/>
    <s v="London"/>
    <s v="Private"/>
    <s v="No"/>
    <s v="Public/Private"/>
    <s v="In Construction"/>
    <n v="2012"/>
    <n v="2015"/>
    <n v="753"/>
    <n v="284"/>
    <n v="58"/>
    <n v="112"/>
    <n v="18"/>
    <n v="7"/>
    <m/>
    <m/>
    <s v="Estimated"/>
    <s v="Nominal"/>
    <m/>
    <s v="www.crick.ac.uk"/>
    <s v="BIS"/>
    <m/>
    <s v="Yes"/>
    <n v="58"/>
    <n v="109.48191593352884"/>
    <n v="17.267230537672781"/>
    <n v="6.596300685642297"/>
    <n v="0"/>
    <n v="0"/>
    <n v="191.34544715684393"/>
    <n v="0"/>
    <n v="133.34544715684393"/>
  </r>
  <r>
    <x v="3"/>
    <s v="Research"/>
    <s v="Research"/>
    <m/>
    <m/>
    <s v="Pirbright Development Phase 2"/>
    <s v="Will include new containment level 2 laboratories, and a new Biological Resources Facility for in-vivo work at various levels of containment."/>
    <s v="South East"/>
    <s v="Public"/>
    <s v="No"/>
    <s v="Public"/>
    <s v="In Construction"/>
    <n v="2012"/>
    <n v="2015"/>
    <n v="100"/>
    <n v="80"/>
    <n v="23"/>
    <n v="23"/>
    <n v="34"/>
    <m/>
    <m/>
    <m/>
    <s v="Estimated"/>
    <s v="Nominal"/>
    <m/>
    <s v="http://www.pirbright.ac.uk/"/>
    <s v="BIS"/>
    <s v="Figures based on BBSRC letter confirming funding for Pirbright Development phase 2"/>
    <s v="Yes"/>
    <n v="23"/>
    <n v="22.482893450635387"/>
    <n v="32.615879904493035"/>
    <n v="0"/>
    <n v="0"/>
    <n v="0"/>
    <n v="78.098773355128429"/>
    <n v="0"/>
    <n v="55.098773355128429"/>
  </r>
  <r>
    <x v="3"/>
    <s v="Research"/>
    <s v="Research"/>
    <m/>
    <m/>
    <s v="Skylon SABRE"/>
    <s v="Project to apply the use of reaction engines in the creation of a new generation of space plane"/>
    <s v="South East"/>
    <s v="Private"/>
    <s v="No"/>
    <s v="Public/Private"/>
    <s v="Scoping"/>
    <n v="2014"/>
    <n v="2019"/>
    <n v="60"/>
    <n v="60"/>
    <m/>
    <m/>
    <m/>
    <m/>
    <n v="60"/>
    <m/>
    <s v="Estimated"/>
    <s v="Nominal"/>
    <m/>
    <s v="http://www.reactionengines.co.uk/sabre.html"/>
    <s v="BIS"/>
    <s v="Project planned and funding confirmed but at a very early stage"/>
    <s v="Yes"/>
    <n v="0"/>
    <n v="0"/>
    <n v="0"/>
    <n v="0"/>
    <n v="55.594611762682668"/>
    <n v="0"/>
    <n v="0"/>
    <n v="55.594611762682668"/>
    <n v="55.594611762682668"/>
  </r>
  <r>
    <x v="4"/>
    <s v="Airports"/>
    <s v="Airports"/>
    <s v="Birmingham Airport"/>
    <m/>
    <m/>
    <s v="To enable long-haul flights by extension of main runway and associated infrastructure and new air traffic control tower"/>
    <s v="West Midlands"/>
    <s v="Private"/>
    <s v="No"/>
    <s v="Private"/>
    <s v="Active Programme"/>
    <n v="2011"/>
    <n v="2014"/>
    <n v="65"/>
    <s v="N/A"/>
    <n v="25.4"/>
    <n v="32.5"/>
    <n v="2"/>
    <m/>
    <m/>
    <m/>
    <s v="Estimated"/>
    <s v="Nominal"/>
    <s v="2011/12"/>
    <s v="www.birminghamairport.co.uk"/>
    <s v="Birmingham Airport - Development Director"/>
    <s v="Public airport company (PAC) - 49% public, 48.25% private, 2.75% employee"/>
    <s v="Yes"/>
    <n v="25.4"/>
    <n v="31.76930596285435"/>
    <n v="1.9185811708525313"/>
    <n v="0"/>
    <n v="0"/>
    <n v="0"/>
    <n v="59.087887133706886"/>
    <n v="0"/>
    <n v="33.687887133706887"/>
  </r>
  <r>
    <x v="4"/>
    <s v="Airports"/>
    <s v="Airports"/>
    <s v="Bristol"/>
    <m/>
    <m/>
    <s v="Expansion of airport - extended terminal building, provision of new aircraft stands, public transport interchange, car parking and and ancillary supporting developments."/>
    <s v="South West"/>
    <s v="Private"/>
    <s v="No"/>
    <s v="Private"/>
    <s v="Active Programme"/>
    <n v="2011"/>
    <n v="2019"/>
    <n v="150"/>
    <m/>
    <n v="16.666666666666668"/>
    <n v="16.666666666666668"/>
    <n v="16.666666666666668"/>
    <n v="16.670000000000002"/>
    <n v="66.67"/>
    <m/>
    <s v="Estimated"/>
    <s v="Nominal"/>
    <m/>
    <s v="http://www.bristolairport.co.uk/"/>
    <s v="Bristol Airport"/>
    <m/>
    <m/>
    <n v="16.666666666666668"/>
    <n v="16.291951775822746"/>
    <n v="15.988176423771096"/>
    <n v="15.708618918522443"/>
    <n v="61.774879436967552"/>
    <n v="0"/>
    <n v="64.655413784782951"/>
    <n v="61.774879436967552"/>
    <n v="109.76362655508383"/>
  </r>
  <r>
    <x v="4"/>
    <s v="Airports"/>
    <s v="Airports"/>
    <s v="Gatwick Capital Investment Programme Q5"/>
    <m/>
    <m/>
    <s v="Investment programme for current regulatory period (Source: CAA Q5 Decision)"/>
    <s v="South East"/>
    <s v="Private"/>
    <s v="Yes"/>
    <s v="Private"/>
    <s v="Active Programme"/>
    <n v="2008"/>
    <n v="2014"/>
    <n v="920"/>
    <m/>
    <n v="90"/>
    <n v="213.9"/>
    <m/>
    <m/>
    <m/>
    <m/>
    <s v="Estimated"/>
    <s v="Constant"/>
    <s v="2007/08"/>
    <s v="http://www.gatwickairport.com/?attach_external_tab&amp;123205888&amp;4&amp;0&amp;0&amp;0&amp;0&amp;Google%20Chrome%20Frame"/>
    <s v="CAA (Q5 Decision and Q5+1 Doc, and Q6 final proposals - 13/14 based on Gatwick investment programme)"/>
    <m/>
    <s v="Yes"/>
    <n v="101.56637927143051"/>
    <n v="241.38942806843318"/>
    <n v="0"/>
    <n v="0"/>
    <n v="0"/>
    <n v="0"/>
    <n v="342.95580733986367"/>
    <n v="0"/>
    <n v="241.38942806843318"/>
  </r>
  <r>
    <x v="4"/>
    <s v="Airports"/>
    <s v="Airports"/>
    <s v="Gatwick Capital Investment Programme Q6"/>
    <m/>
    <m/>
    <s v="Investment programme for current regulatory period (Source: CAA Q5 Decision)"/>
    <s v="South East"/>
    <s v="Private"/>
    <s v="Yes"/>
    <s v="Private"/>
    <s v="Scoping"/>
    <n v="2015"/>
    <n v="2019"/>
    <n v="920.4"/>
    <m/>
    <m/>
    <m/>
    <n v="167.5"/>
    <n v="205.6"/>
    <n v="547.4"/>
    <m/>
    <s v="Estimated"/>
    <s v="Constant"/>
    <s v="2011/12"/>
    <s v="http://www.gatwickairport.com/?attach_external_tab&amp;123205888&amp;4&amp;0&amp;0&amp;0&amp;0&amp;Google%20Chrome%20Frame"/>
    <s v="CAA (Q5 Decision and Q5+1 Doc, and Q6 final proposals - 13/14 based on Gatwick investment programme)"/>
    <m/>
    <s v="Yes"/>
    <n v="0"/>
    <n v="0"/>
    <n v="170.46264069528402"/>
    <n v="209.23653090716655"/>
    <n v="557.08208666625956"/>
    <n v="0"/>
    <n v="379.69917160245058"/>
    <n v="557.08208666625956"/>
    <n v="936.78125826871019"/>
  </r>
  <r>
    <x v="4"/>
    <s v="Airports"/>
    <s v="Airports"/>
    <s v="Glasgow"/>
    <m/>
    <m/>
    <s v="10 year investment plan"/>
    <s v="Scotland"/>
    <s v="Private"/>
    <s v="No"/>
    <s v="Private"/>
    <s v="Active Programme"/>
    <n v="2011"/>
    <s v="various"/>
    <n v="200"/>
    <m/>
    <n v="17"/>
    <n v="20"/>
    <n v="20"/>
    <n v="20"/>
    <n v="80"/>
    <n v="20"/>
    <s v="Estimated"/>
    <s v="Nominal"/>
    <m/>
    <s v="www.glasgowairport.com/"/>
    <s v="www.glasgowairport.com/"/>
    <s v="Assume spread evenly over 10 year period"/>
    <m/>
    <n v="17"/>
    <n v="19.550342130987293"/>
    <n v="19.185811708525314"/>
    <n v="18.846573387549419"/>
    <n v="74.126149016910219"/>
    <n v="17.170778218435828"/>
    <n v="74.582727227062023"/>
    <n v="91.296927235346047"/>
    <n v="148.87965446240807"/>
  </r>
  <r>
    <x v="4"/>
    <s v="Airports"/>
    <s v="Airports"/>
    <s v="Heathrow Capital Investment Programme Q5"/>
    <m/>
    <m/>
    <s v="Investment programme for current regulatory period (Source: CAA Q5 Decision and Q5+1 Doc)"/>
    <s v="South East"/>
    <s v="Private"/>
    <s v="Yes"/>
    <s v="Private"/>
    <s v="Active Programme"/>
    <n v="2008"/>
    <n v="2014"/>
    <n v="5521"/>
    <m/>
    <n v="580"/>
    <n v="735"/>
    <m/>
    <m/>
    <m/>
    <m/>
    <s v="Estimated"/>
    <s v="Constant"/>
    <s v="2007/08"/>
    <s v="www.caa.co.uk/application.aspx?catid=33&amp;pagetype=65&amp;appid=11&amp;mode=detail&amp;id=5783"/>
    <s v="CAA (Q5 Decision and Q5+1 Doc, and Q6 final proposals). Figures from 13/14 based on HAL's ABP"/>
    <m/>
    <s v="Yes"/>
    <n v="654.53888863810778"/>
    <n v="829.45876405001582"/>
    <n v="0"/>
    <n v="0"/>
    <n v="0"/>
    <n v="0"/>
    <n v="1483.9976526881237"/>
    <n v="0"/>
    <n v="829.45876405001593"/>
  </r>
  <r>
    <x v="4"/>
    <s v="Airports"/>
    <s v="Airports"/>
    <s v="Heathrow Capital Investment Programme Q6"/>
    <m/>
    <m/>
    <s v="Investment programme for current regulatory period (Source: CAA Q5 Decision and Q5+1 Doc)"/>
    <s v="South East"/>
    <s v="Private"/>
    <s v="Yes"/>
    <s v="Private"/>
    <s v="Scoping"/>
    <n v="2014"/>
    <n v="2019"/>
    <n v="3013"/>
    <m/>
    <m/>
    <m/>
    <n v="602"/>
    <n v="699"/>
    <n v="1712"/>
    <m/>
    <s v="Estimated"/>
    <s v="Constant"/>
    <s v="2011/12"/>
    <s v="www.caa.co.uk/application.aspx?catid=33&amp;pagetype=65&amp;appid=11&amp;mode=detail&amp;id=5783"/>
    <s v="CAA (Q5 Decision and Q5+1 Doc, and Q6 final proposals). Figures from 13/14 based on HAL's ABP"/>
    <m/>
    <s v="Yes"/>
    <n v="0"/>
    <n v="0"/>
    <n v="612.64781909588646"/>
    <n v="711.3634975880808"/>
    <n v="1742.2808410168732"/>
    <n v="0"/>
    <n v="1324.0113166839674"/>
    <n v="1742.2808410168732"/>
    <n v="3066.2921577008406"/>
  </r>
  <r>
    <x v="4"/>
    <s v="Airports"/>
    <s v="Airports"/>
    <s v="Lydd"/>
    <m/>
    <m/>
    <s v="New terminal and runway extension"/>
    <s v="South East"/>
    <s v="Private"/>
    <s v="No"/>
    <s v="Private"/>
    <s v="Scoping"/>
    <n v="2014"/>
    <s v="TBC"/>
    <n v="25"/>
    <m/>
    <m/>
    <n v="12.5"/>
    <n v="12.5"/>
    <m/>
    <m/>
    <m/>
    <s v="Estimated"/>
    <s v="Nominal"/>
    <m/>
    <s v="www.lydd-airport.co.uk/"/>
    <s v="DfT"/>
    <s v="Assume spread evenly over a two year period"/>
    <m/>
    <n v="0"/>
    <n v="12.218963831867057"/>
    <n v="11.99113231782832"/>
    <n v="0"/>
    <n v="0"/>
    <n v="0"/>
    <n v="24.210096149695378"/>
    <n v="0"/>
    <n v="24.210096149695378"/>
  </r>
  <r>
    <x v="4"/>
    <s v="Airports"/>
    <s v="Airports"/>
    <s v="Stansted Capital Investment Programme"/>
    <m/>
    <m/>
    <s v="Based on December 2009 statement to investors, excluding new runway development (Source: CAA Q5 recommendations)"/>
    <s v="East of England"/>
    <s v="Private"/>
    <s v="Yes"/>
    <s v="Private"/>
    <s v="Active Programme"/>
    <n v="2011"/>
    <n v="2014"/>
    <n v="127"/>
    <m/>
    <n v="20"/>
    <n v="19"/>
    <m/>
    <m/>
    <m/>
    <m/>
    <s v="Estimated"/>
    <s v="Constant"/>
    <s v="2007/08"/>
    <s v="www.caa.co.uk/homepage.aspx"/>
    <s v="CAA (Q5 recommendations)"/>
    <m/>
    <m/>
    <n v="22.570306504762335"/>
    <n v="21.44179117952422"/>
    <n v="0"/>
    <n v="0"/>
    <n v="0"/>
    <n v="0"/>
    <n v="44.012097684286559"/>
    <n v="0"/>
    <n v="21.441791179524223"/>
  </r>
  <r>
    <x v="4"/>
    <s v="Airports"/>
    <s v="NATS"/>
    <s v="NATS"/>
    <m/>
    <m/>
    <s v="Investment in air traffic control infrastructure"/>
    <s v="UK"/>
    <s v="Private"/>
    <s v="Yes"/>
    <s v="Private"/>
    <s v="Active Programme"/>
    <n v="2011"/>
    <n v="2020"/>
    <n v="1587"/>
    <m/>
    <n v="136"/>
    <n v="130"/>
    <n v="112"/>
    <n v="92"/>
    <n v="550"/>
    <n v="149"/>
    <s v="Estimated"/>
    <s v="Nominal"/>
    <s v="2008/09"/>
    <s v="www.nats.aero/wp-content/uploads/2012/07/NATSEnRoute10YearPlanMarch2010.pdf"/>
    <s v="Performance NERL 10 year plan from March 2010._x000a_"/>
    <s v="Information taken from published NERL 10 year plan March 2010. For year 2015 - 2020; £978m is the sum of financial years 2015/16 - 2019/20 plus 9 months of financial year 2020/21"/>
    <m/>
    <n v="136"/>
    <n v="127.0772238514174"/>
    <n v="107.44054556774175"/>
    <n v="86.694237582727339"/>
    <n v="509.61727449125777"/>
    <n v="127.92229772734692"/>
    <n v="457.21200700188649"/>
    <n v="637.53957221860469"/>
    <n v="958.75157922049129"/>
  </r>
  <r>
    <x v="4"/>
    <s v="Crossrail"/>
    <s v="Crossrail"/>
    <m/>
    <m/>
    <s v="Crossrail"/>
    <s v="Crossrail will deliver a new high-frequency rail service and supporting infrastructure for London and the South East, with 13 miles of twin tunnels and eight new underground stations across central London.  Services will run from Maidenhead and Heathrow in the west to Shenfield in the east and Abbey Wood in the south east. The central tunnel will open in Dec 2018 with full services commencing in Dec 2019."/>
    <s v="London"/>
    <s v="Public/Private"/>
    <s v="No"/>
    <s v="Public/Private"/>
    <s v="In Construction"/>
    <n v="2009"/>
    <n v="2018"/>
    <n v="14500"/>
    <m/>
    <n v="1470"/>
    <n v="1932"/>
    <n v="2167"/>
    <n v="2127"/>
    <n v="3760"/>
    <n v="2"/>
    <s v="Estimated"/>
    <s v="Nominal"/>
    <m/>
    <s v="www.crossrail.co.uk/"/>
    <s v="Crossrail Investment Model"/>
    <s v="The 14.5bn expected cost excludes rolling astock and depot contracts. Includes Network Rail Spend."/>
    <s v="Yes"/>
    <n v="1470"/>
    <n v="1888.5630498533724"/>
    <n v="2078.7826986187179"/>
    <n v="2004.3330797658809"/>
    <n v="3483.9290037947803"/>
    <n v="1.7170778218435827"/>
    <n v="7441.6788282379712"/>
    <n v="3485.6460816166241"/>
    <n v="9457.3249098545948"/>
  </r>
  <r>
    <x v="4"/>
    <s v="High Speed Rail"/>
    <s v="High Speed Rail"/>
    <m/>
    <m/>
    <s v="National high speed rail network (phase one) - construction"/>
    <s v="Line from London Euston to the West Midlands with new stations at Old Oak Common, Birmingham Interchange and Birmingham Curzon Street. Direct connections onto the West Coast Main Line for services to the NW and Scotland, and onto HS1 for services to the Continent. The design capability of the line would 250 miles per hour, but with an operating limit of 225 miles per hour at opening._x000a_"/>
    <s v="England"/>
    <s v="Public"/>
    <s v="No"/>
    <s v="Public"/>
    <s v="Scoping"/>
    <n v="2017"/>
    <n v="2026"/>
    <n v="42557"/>
    <m/>
    <n v="31.2"/>
    <n v="118"/>
    <n v="154"/>
    <n v="832"/>
    <n v="10722"/>
    <n v="4498"/>
    <s v="Estimated"/>
    <s v="Constant"/>
    <s v="2011/12"/>
    <s v="http://www.hs2.org.uk/"/>
    <s v="Investing in Britain: //www.gov.uk/government/uploads/system/uploads/attachment_data/file/209279/PU1524_IUK_new_template.pdf  (June 27 2013)"/>
    <s v="Cash profile only includes SR13 allocation"/>
    <s v="Yes"/>
    <n v="31.751847102643953"/>
    <n v="120.08711404205084"/>
    <n v="156.7238606989477"/>
    <n v="846.71592273717204"/>
    <n v="10911.644379312451"/>
    <n v="4577.5579572978368"/>
    <n v="1155.2787445808144"/>
    <n v="15489.202336610288"/>
    <n v="16612.729234088456"/>
  </r>
  <r>
    <x v="4"/>
    <s v="High Speed Rail"/>
    <s v="High Speed Rail"/>
    <m/>
    <m/>
    <s v="National high speed rail network (phase two) - construction"/>
    <s v="Separate lines from West Midlands to Leeds and Manchester, with intermediate stations in the East Midlands and South Yorkshire. Direct connections to Heathrow and onto the West and East Coast main lines for services to the NW, NE and Scotland."/>
    <s v="North West"/>
    <s v="Public"/>
    <s v="No"/>
    <s v="Public"/>
    <s v="Scoping"/>
    <n v="2022"/>
    <n v="2032"/>
    <s v="included in above"/>
    <m/>
    <m/>
    <m/>
    <m/>
    <m/>
    <m/>
    <m/>
    <s v="Estimated"/>
    <s v="Constant"/>
    <s v="2011/12"/>
    <m/>
    <s v="Investing in Britain: //www.gov.uk/government/uploads/system/uploads/attachment_data/file/209279/PU1524_IUK_new_template.pdf  (June 27 2013)"/>
    <m/>
    <s v="Yes"/>
    <n v="0"/>
    <n v="0"/>
    <n v="0"/>
    <n v="0"/>
    <n v="0"/>
    <n v="0"/>
    <n v="0"/>
    <n v="0"/>
    <n v="0"/>
  </r>
  <r>
    <x v="4"/>
    <s v="High Speed Rail"/>
    <s v="High Speed Rail"/>
    <m/>
    <m/>
    <s v="Rolling Stock"/>
    <s v="Separate lines from West Midlands to Leeds and Manchester, with intermediate stations in the East Midlands and South Yorkshire. Direct connections to Heathrow and onto the West and East Coast main lines for services to the NW, NE and Scotland."/>
    <s v="England"/>
    <s v="Public"/>
    <s v="No"/>
    <s v="Public"/>
    <s v="Scoping"/>
    <s v="TBC"/>
    <s v="TBC"/>
    <n v="7500"/>
    <m/>
    <m/>
    <m/>
    <m/>
    <m/>
    <m/>
    <n v="7500"/>
    <s v="Estimated"/>
    <s v="Constant"/>
    <s v="2011/12"/>
    <s v="http://www.hs2.org.uk/"/>
    <s v="Investing in Britain: //www.gov.uk/government/uploads/system/uploads/attachment_data/file/209279/PU1524_IUK_new_template.pdf  (June 27 2013)"/>
    <m/>
    <s v="Yes"/>
    <n v="0"/>
    <n v="0"/>
    <n v="0"/>
    <n v="0"/>
    <n v="0"/>
    <n v="7632.6555535201805"/>
    <n v="0"/>
    <n v="7632.6555535201805"/>
    <n v="7632.6555535201805"/>
  </r>
  <r>
    <x v="4"/>
    <s v="London"/>
    <s v="DLR"/>
    <m/>
    <m/>
    <s v="Double tracking of north route"/>
    <m/>
    <s v="London"/>
    <s v="Public"/>
    <s v="No"/>
    <s v="Public/Private"/>
    <s v="In Construction"/>
    <n v="2013"/>
    <n v="2019"/>
    <n v="57"/>
    <m/>
    <m/>
    <n v="2"/>
    <m/>
    <m/>
    <n v="24"/>
    <n v="31"/>
    <s v="Estimated"/>
    <s v="Nominal"/>
    <s v="2012/13"/>
    <s v="http://www.tfl.gov.uk/corporate/about-tfl/investorrelations/1462.aspx"/>
    <s v="TFL submission to DfT/HMT during this summer’s spending review. Does not incorporate changes since then"/>
    <m/>
    <m/>
    <n v="0"/>
    <n v="1.9550342130987293"/>
    <n v="0"/>
    <n v="0"/>
    <n v="22.237844705073066"/>
    <n v="26.614706238575533"/>
    <n v="1.9550342130987293"/>
    <n v="48.852550943648595"/>
    <n v="50.807585156747322"/>
  </r>
  <r>
    <x v="4"/>
    <s v="London"/>
    <s v="Surface Renewals London"/>
    <s v="Other capital including asset renewal for DLR and London Overground, project contingency and overprogramming"/>
    <m/>
    <m/>
    <m/>
    <s v="London"/>
    <s v="Public"/>
    <s v="No"/>
    <s v="Public/Private"/>
    <s v="Active Programme"/>
    <s v="TBC"/>
    <n v="2020"/>
    <n v="1234"/>
    <m/>
    <n v="190"/>
    <n v="25"/>
    <n v="-88"/>
    <n v="146"/>
    <n v="892"/>
    <n v="69"/>
    <s v="Estimated"/>
    <s v="Nominal"/>
    <s v="2012/13"/>
    <s v="http://www.tfl.gov.uk/corporate/about-tfl/investorrelations/1462.aspx"/>
    <s v="TFL submission to DfT/HMT during this summer’s spending review. Does not incorporate changes since then"/>
    <m/>
    <m/>
    <n v="190"/>
    <n v="24.437927663734115"/>
    <n v="-84.417571517511377"/>
    <n v="137.57998572911077"/>
    <n v="826.50656153854891"/>
    <n v="59.239184853603604"/>
    <n v="267.60034187533353"/>
    <n v="885.74574639215257"/>
    <n v="963.34608826748604"/>
  </r>
  <r>
    <x v="4"/>
    <s v="London"/>
    <s v="London Overground"/>
    <m/>
    <m/>
    <s v="Additional carriages on London Overground trains"/>
    <m/>
    <s v="London"/>
    <s v="Public"/>
    <s v="No"/>
    <s v="Public/Private"/>
    <s v="In Construction"/>
    <n v="2010"/>
    <n v="2016"/>
    <n v="180"/>
    <m/>
    <n v="4"/>
    <n v="74"/>
    <n v="84"/>
    <n v="18"/>
    <m/>
    <m/>
    <s v="Estimated"/>
    <s v="Nominal"/>
    <s v="2012/13"/>
    <s v="http://www.tfl.gov.uk/corporate/about-tfl/investorrelations/1462.aspx"/>
    <s v="TFL submission to DfT/HMT during this summer’s spending review. Does not incorporate changes since then"/>
    <m/>
    <m/>
    <n v="4"/>
    <n v="72.336265884652988"/>
    <n v="80.580409175806309"/>
    <n v="16.961916048794478"/>
    <n v="0"/>
    <n v="0"/>
    <n v="173.87859110925376"/>
    <n v="0"/>
    <n v="169.87859110925376"/>
  </r>
  <r>
    <x v="4"/>
    <s v="London"/>
    <s v="River"/>
    <m/>
    <m/>
    <s v="Silvertown tunnel "/>
    <m/>
    <s v="London"/>
    <s v="Public"/>
    <s v="No"/>
    <s v="Public/Private"/>
    <s v="Scoping"/>
    <s v="TBC"/>
    <s v="TBC"/>
    <n v="572"/>
    <m/>
    <m/>
    <m/>
    <m/>
    <m/>
    <n v="521"/>
    <n v="51"/>
    <s v="Estimated"/>
    <s v="Nominal"/>
    <s v="2012/13"/>
    <s v="http://www.tfl.gov.uk/corporate/about-tfl/investorrelations/1462.aspx"/>
    <s v="TFL submission to DfT/HMT during this summer’s spending review. Does not incorporate changes since then"/>
    <s v="Net zero impact on PSBR since privately financed, gross capital costs shown here"/>
    <m/>
    <n v="0"/>
    <n v="0"/>
    <n v="0"/>
    <n v="0"/>
    <n v="482.74654547262782"/>
    <n v="43.785484457011357"/>
    <n v="0"/>
    <n v="526.53202992963918"/>
    <n v="526.53202992963918"/>
  </r>
  <r>
    <x v="4"/>
    <s v="London"/>
    <s v="River"/>
    <m/>
    <m/>
    <s v="Gallions Reach crossing"/>
    <m/>
    <s v="London"/>
    <s v="Public"/>
    <s v="No"/>
    <s v="Public/Private"/>
    <s v="Scoping"/>
    <s v="TBC"/>
    <s v="TBC"/>
    <n v="143"/>
    <m/>
    <m/>
    <m/>
    <m/>
    <n v="18"/>
    <n v="125"/>
    <m/>
    <s v="Estimated"/>
    <s v="Nominal"/>
    <s v="2012/13"/>
    <s v="http://www.tfl.gov.uk/corporate/about-tfl/investorrelations/1462.aspx"/>
    <s v="TFL submission to DfT/HMT during this summer’s spending review. Does not incorporate changes since then"/>
    <s v="Consultation closed Feb 2013"/>
    <m/>
    <n v="0"/>
    <n v="0"/>
    <n v="0"/>
    <n v="16.961916048794478"/>
    <n v="115.82210783892222"/>
    <n v="0"/>
    <n v="16.961916048794478"/>
    <n v="115.82210783892222"/>
    <n v="132.7840238877167"/>
  </r>
  <r>
    <x v="4"/>
    <s v="London"/>
    <s v="Station Upgrades"/>
    <m/>
    <m/>
    <s v="Paddington (Hammersmith &amp; City line)"/>
    <m/>
    <s v="London"/>
    <s v="Public"/>
    <s v="No"/>
    <s v="Public/Private"/>
    <s v="In Construction"/>
    <n v="2010"/>
    <n v="2015"/>
    <n v="23"/>
    <m/>
    <n v="10"/>
    <n v="12"/>
    <n v="1"/>
    <m/>
    <m/>
    <m/>
    <s v="Estimated"/>
    <s v="Nominal"/>
    <s v="2012/13"/>
    <s v="http://www.tfl.gov.uk/corporate/about-tfl/investorrelations/1462.aspx"/>
    <s v="TFL submission to DfT/HMT during this summer’s spending review. Does not incorporate changes since then"/>
    <m/>
    <m/>
    <n v="10"/>
    <n v="11.730205278592376"/>
    <n v="0.95929058542626566"/>
    <n v="0"/>
    <n v="0"/>
    <n v="0"/>
    <n v="22.689495864018642"/>
    <n v="0"/>
    <n v="12.689495864018642"/>
  </r>
  <r>
    <x v="4"/>
    <s v="London"/>
    <s v="Station Upgrades"/>
    <m/>
    <m/>
    <s v="Victoria"/>
    <m/>
    <s v="London"/>
    <s v="Public"/>
    <s v="No"/>
    <s v="Public/Private"/>
    <s v="In Construction"/>
    <n v="2010"/>
    <n v="2018"/>
    <n v="444"/>
    <m/>
    <n v="68"/>
    <n v="80"/>
    <n v="93"/>
    <n v="82"/>
    <n v="121"/>
    <m/>
    <s v="Estimated"/>
    <s v="Nominal"/>
    <s v="2012/13"/>
    <s v="http://www.tfl.gov.uk/corporate/about-tfl/investorrelations/1462.aspx"/>
    <s v="TFL submission to DfT/HMT during this summer’s spending review. Does not incorporate changes since then"/>
    <m/>
    <m/>
    <n v="68"/>
    <n v="78.201368523949171"/>
    <n v="89.214024444642703"/>
    <n v="77.270950888952626"/>
    <n v="112.11580038807671"/>
    <n v="0"/>
    <n v="312.68634385754444"/>
    <n v="112.11580038807671"/>
    <n v="356.80214424562115"/>
  </r>
  <r>
    <x v="4"/>
    <s v="London"/>
    <s v="Station Upgrades"/>
    <m/>
    <m/>
    <s v="Tottenham Court Road"/>
    <m/>
    <s v="London"/>
    <s v="Public"/>
    <s v="No"/>
    <s v="Public/Private"/>
    <s v="In Construction"/>
    <n v="2010"/>
    <n v="2017"/>
    <n v="251"/>
    <m/>
    <n v="52"/>
    <n v="52"/>
    <n v="56"/>
    <n v="51"/>
    <n v="40"/>
    <m/>
    <s v="Estimated"/>
    <s v="Nominal"/>
    <s v="2012/13"/>
    <s v="http://www.tfl.gov.uk/corporate/about-tfl/investorrelations/1462.aspx"/>
    <s v="TFL submission to DfT/HMT during this summer’s spending review. Does not incorporate changes since then"/>
    <m/>
    <m/>
    <n v="52"/>
    <n v="50.830889540566965"/>
    <n v="53.720272783870875"/>
    <n v="48.058762138251019"/>
    <n v="37.063074508455109"/>
    <n v="0"/>
    <n v="204.60992446268887"/>
    <n v="37.063074508455109"/>
    <n v="189.67299897114398"/>
  </r>
  <r>
    <x v="4"/>
    <s v="London"/>
    <s v="Station Upgrades"/>
    <m/>
    <m/>
    <s v="Bond Street"/>
    <m/>
    <s v="London"/>
    <s v="Public"/>
    <s v="No"/>
    <s v="Public/Private"/>
    <s v="In Construction"/>
    <n v="2010"/>
    <n v="2017"/>
    <n v="166"/>
    <m/>
    <n v="28"/>
    <n v="26"/>
    <n v="29"/>
    <n v="29"/>
    <n v="54"/>
    <m/>
    <s v="Estimated"/>
    <s v="Nominal"/>
    <s v="2012/13"/>
    <s v="http://www.tfl.gov.uk/corporate/about-tfl/investorrelations/1462.aspx"/>
    <s v="TFL submission to DfT/HMT during this summer’s spending review. Does not incorporate changes since then"/>
    <m/>
    <m/>
    <n v="28"/>
    <n v="25.415444770283482"/>
    <n v="27.819426977361704"/>
    <n v="27.327531411946659"/>
    <n v="50.035150586414396"/>
    <n v="0"/>
    <n v="108.56240315959184"/>
    <n v="50.035150586414396"/>
    <n v="130.59755374600624"/>
  </r>
  <r>
    <x v="4"/>
    <s v="London"/>
    <s v="Station Upgrades"/>
    <m/>
    <m/>
    <s v="Bank (W&amp;C)"/>
    <m/>
    <s v="London"/>
    <s v="Public"/>
    <s v="No"/>
    <s v="Public/Private"/>
    <s v="In Construction"/>
    <n v="2010"/>
    <n v="2015"/>
    <n v="44"/>
    <m/>
    <n v="1"/>
    <n v="1"/>
    <n v="27"/>
    <n v="15"/>
    <m/>
    <m/>
    <s v="Estimated"/>
    <s v="Nominal"/>
    <s v="2012/13"/>
    <s v="http://www.tfl.gov.uk/corporate/about-tfl/investorrelations/1462.aspx"/>
    <s v="TFL submission to DfT/HMT during this summer’s spending review. Does not incorporate changes since then"/>
    <m/>
    <m/>
    <n v="1"/>
    <n v="0.97751710654936463"/>
    <n v="25.900845806509174"/>
    <n v="14.134930040662065"/>
    <n v="0"/>
    <n v="0"/>
    <n v="42.013292953720601"/>
    <n v="0"/>
    <n v="41.013292953720601"/>
  </r>
  <r>
    <x v="4"/>
    <s v="London"/>
    <s v="Station Upgrades"/>
    <m/>
    <m/>
    <s v="Bank (Main scheme)"/>
    <m/>
    <s v="London"/>
    <s v="Public"/>
    <s v="No"/>
    <s v="Public/Private"/>
    <s v="In Construction"/>
    <n v="2010"/>
    <n v="2021"/>
    <n v="629"/>
    <m/>
    <n v="59"/>
    <n v="30"/>
    <n v="50"/>
    <n v="48"/>
    <n v="413"/>
    <n v="29"/>
    <s v="Estimated"/>
    <s v="Nominal"/>
    <s v="2012/13"/>
    <s v="http://www.tfl.gov.uk/corporate/about-tfl/investorrelations/1462.aspx"/>
    <s v="TFL submission to DfT/HMT during this summer’s spending review. Does not incorporate changes since then"/>
    <m/>
    <m/>
    <n v="59"/>
    <n v="29.325513196480941"/>
    <n v="47.964529271313282"/>
    <n v="45.231776130118611"/>
    <n v="382.67624429979901"/>
    <n v="24.897628416731948"/>
    <n v="181.52181859791284"/>
    <n v="407.57387271653096"/>
    <n v="530.0956913144438"/>
  </r>
  <r>
    <x v="4"/>
    <s v="London"/>
    <s v="Station Upgrades"/>
    <m/>
    <m/>
    <s v="Camden Town"/>
    <m/>
    <s v="London"/>
    <s v="Public"/>
    <s v="No"/>
    <s v="Public/Private"/>
    <s v="Scoping"/>
    <n v="2016"/>
    <n v="2024"/>
    <n v="118"/>
    <m/>
    <m/>
    <n v="1"/>
    <m/>
    <m/>
    <n v="99"/>
    <n v="18"/>
    <s v="Estimated"/>
    <s v="Nominal"/>
    <s v="2012/13"/>
    <s v="http://www.tfl.gov.uk/corporate/about-tfl/investorrelations/1462.aspx"/>
    <s v="TFL submission to DfT/HMT during this summer’s spending review. Does not incorporate changes since then"/>
    <m/>
    <m/>
    <n v="0"/>
    <n v="0.97751710654936463"/>
    <n v="0"/>
    <n v="0"/>
    <n v="91.731109408426391"/>
    <n v="15.453700396592245"/>
    <n v="0.97751710654936463"/>
    <n v="107.18480980501863"/>
    <n v="108.162326911568"/>
  </r>
  <r>
    <x v="4"/>
    <s v="London"/>
    <s v="Station Upgrades"/>
    <m/>
    <m/>
    <s v="Holborn"/>
    <m/>
    <s v="London"/>
    <s v="Public"/>
    <s v="No"/>
    <s v="Public/Private"/>
    <s v="Scoping"/>
    <n v="2016"/>
    <n v="2023"/>
    <n v="225"/>
    <m/>
    <m/>
    <n v="1"/>
    <n v="2"/>
    <n v="3"/>
    <n v="196"/>
    <n v="23"/>
    <s v="Estimated"/>
    <s v="Nominal"/>
    <s v="2012/13"/>
    <s v="http://www.tfl.gov.uk/corporate/about-tfl/investorrelations/1462.aspx"/>
    <s v="TFL submission to DfT/HMT during this summer’s spending review. Does not incorporate changes since then"/>
    <m/>
    <m/>
    <n v="0"/>
    <n v="0.97751710654936463"/>
    <n v="1.9185811708525313"/>
    <n v="2.8269860081324132"/>
    <n v="181.60906509143004"/>
    <n v="19.7463949512012"/>
    <n v="5.7230842855343091"/>
    <n v="201.35546004263125"/>
    <n v="207.07854432816555"/>
  </r>
  <r>
    <x v="4"/>
    <s v="London"/>
    <s v="Station Upgrades"/>
    <s v="Future upgrades, including Paddington (Bakerloo line)"/>
    <m/>
    <m/>
    <m/>
    <s v="London"/>
    <s v="Public"/>
    <s v="No"/>
    <s v="Public/Private"/>
    <s v="Scoping"/>
    <n v="2016"/>
    <s v="various"/>
    <n v="119"/>
    <m/>
    <m/>
    <n v="3"/>
    <n v="24"/>
    <n v="25"/>
    <n v="56"/>
    <n v="11"/>
    <s v="Estimated"/>
    <s v="Nominal"/>
    <s v="2012/13"/>
    <s v="http://www.tfl.gov.uk/corporate/about-tfl/investorrelations/1462.aspx"/>
    <s v="TFL submission to DfT/HMT during this summer’s spending review. Does not incorporate changes since then"/>
    <m/>
    <m/>
    <n v="0"/>
    <n v="2.9325513196480939"/>
    <n v="23.022974050230374"/>
    <n v="23.558216734436776"/>
    <n v="51.888304311837153"/>
    <n v="9.4439280201397047"/>
    <n v="49.513742104315241"/>
    <n v="61.332232331976854"/>
    <n v="110.8459744362921"/>
  </r>
  <r>
    <x v="4"/>
    <s v="London"/>
    <s v="Station Upgrades"/>
    <s v="Growth station schemes, including Elephant and Castle, Woolwich and Tottenham Hale (partially offset with developer contributions)"/>
    <m/>
    <m/>
    <m/>
    <s v="London"/>
    <s v="Public"/>
    <s v="No"/>
    <s v="Public/Private"/>
    <s v="Scoping"/>
    <n v="2016"/>
    <s v="various"/>
    <n v="329"/>
    <m/>
    <m/>
    <n v="6"/>
    <n v="13"/>
    <n v="31"/>
    <n v="279"/>
    <m/>
    <s v="Estimated"/>
    <s v="Nominal"/>
    <s v="2012/13"/>
    <s v="http://www.tfl.gov.uk/corporate/about-tfl/investorrelations/1462.aspx"/>
    <s v="TFL submission to DfT/HMT during this summer’s spending review. Does not incorporate changes since then"/>
    <m/>
    <m/>
    <n v="0"/>
    <n v="5.8651026392961878"/>
    <n v="12.470777610541454"/>
    <n v="29.212188750701603"/>
    <n v="258.5149446964744"/>
    <n v="0"/>
    <n v="47.548069000539243"/>
    <n v="258.5149446964744"/>
    <n v="306.06301369701362"/>
  </r>
  <r>
    <x v="4"/>
    <s v="London"/>
    <s v="Station Upgrades"/>
    <s v="Thameslink, Crossrail &amp; Croxley link"/>
    <m/>
    <m/>
    <m/>
    <s v="London"/>
    <s v="Public"/>
    <s v="No"/>
    <s v="Public/Private"/>
    <s v="Active Programme"/>
    <n v="2012"/>
    <s v="various"/>
    <n v="74"/>
    <m/>
    <n v="21"/>
    <n v="26"/>
    <n v="13"/>
    <n v="10"/>
    <n v="4"/>
    <m/>
    <s v="Estimated"/>
    <s v="Nominal"/>
    <s v="2012/13"/>
    <s v="http://www.tfl.gov.uk/corporate/about-tfl/investorrelations/1462.aspx"/>
    <s v="TFL submission to DfT/HMT during this summer’s spending review. Does not incorporate changes since then"/>
    <m/>
    <m/>
    <n v="21"/>
    <n v="25.415444770283482"/>
    <n v="12.470777610541454"/>
    <n v="9.4232866937747097"/>
    <n v="3.7063074508455109"/>
    <n v="0"/>
    <n v="68.309509074599646"/>
    <n v="3.7063074508455109"/>
    <n v="51.01581652544516"/>
  </r>
  <r>
    <x v="4"/>
    <s v="London"/>
    <s v="Station Upgrades"/>
    <s v="Tube Customer Service Transformation"/>
    <m/>
    <m/>
    <m/>
    <s v="London"/>
    <s v="Public"/>
    <s v="No"/>
    <s v="Public/Private"/>
    <s v="Active Programme"/>
    <n v="2012"/>
    <s v="various"/>
    <n v="67"/>
    <m/>
    <n v="7"/>
    <n v="18"/>
    <n v="13"/>
    <n v="5"/>
    <n v="20"/>
    <n v="4"/>
    <s v="Estimated"/>
    <s v="Nominal"/>
    <s v="2012/13"/>
    <s v="http://www.tfl.gov.uk/corporate/about-tfl/investorrelations/1462.aspx"/>
    <s v="TFL submission to DfT/HMT during this summer’s spending review. Does not incorporate changes since then"/>
    <m/>
    <m/>
    <n v="7"/>
    <n v="17.595307917888565"/>
    <n v="12.470777610541454"/>
    <n v="4.7116433468873549"/>
    <n v="18.531537254227555"/>
    <n v="3.4341556436871654"/>
    <n v="41.777728875317379"/>
    <n v="21.965692897914721"/>
    <n v="56.7434217732321"/>
  </r>
  <r>
    <x v="4"/>
    <s v="London"/>
    <s v="Surface Transport: Other capital"/>
    <s v="Bus infrastructure and vehicles"/>
    <m/>
    <m/>
    <m/>
    <s v="London"/>
    <s v="Public"/>
    <s v="No"/>
    <s v="Public/Private"/>
    <s v="Active Programme"/>
    <s v="Started"/>
    <s v="various"/>
    <n v="461"/>
    <m/>
    <n v="24"/>
    <n v="65"/>
    <n v="113"/>
    <n v="98"/>
    <n v="149"/>
    <n v="12"/>
    <s v="Estimated"/>
    <s v="Nominal"/>
    <s v="2012/13"/>
    <s v="http://www.tfl.gov.uk/corporate/about-tfl/investorrelations/1462.aspx"/>
    <s v="TFL submission to DfT/HMT during this summer’s spending review. Does not incorporate changes since then"/>
    <m/>
    <m/>
    <n v="24"/>
    <n v="63.5386119257087"/>
    <n v="108.39983615316802"/>
    <n v="92.348209598992156"/>
    <n v="138.05995254399528"/>
    <n v="10.302466931061497"/>
    <n v="288.2866576778689"/>
    <n v="148.36241947505678"/>
    <n v="412.64907715292566"/>
  </r>
  <r>
    <x v="4"/>
    <s v="London"/>
    <s v="Surface Transport: Other capital"/>
    <s v="Congestion Charge, LEZ and Enforcement"/>
    <m/>
    <m/>
    <m/>
    <s v="London"/>
    <s v="Public"/>
    <s v="No"/>
    <s v="Public/Private"/>
    <s v="Active Programme"/>
    <s v="Started"/>
    <s v="various"/>
    <n v="167"/>
    <m/>
    <m/>
    <n v="11"/>
    <n v="50"/>
    <n v="59"/>
    <n v="33"/>
    <n v="14"/>
    <s v="Estimated"/>
    <s v="Nominal"/>
    <s v="2012/13"/>
    <s v="http://www.tfl.gov.uk/corporate/about-tfl/investorrelations/1462.aspx"/>
    <s v="TFL submission to DfT/HMT during this summer’s spending review. Does not incorporate changes since then"/>
    <m/>
    <m/>
    <n v="0"/>
    <n v="10.752688172043012"/>
    <n v="47.964529271313282"/>
    <n v="55.597391493270791"/>
    <n v="30.577036469475466"/>
    <n v="12.019544752905079"/>
    <n v="114.31460893662708"/>
    <n v="42.596581222380543"/>
    <n v="156.91119015900762"/>
  </r>
  <r>
    <x v="4"/>
    <s v="London"/>
    <s v="Surface Transport: Other capital"/>
    <s v="Other Surface Transport (inc overprogramming)"/>
    <m/>
    <m/>
    <m/>
    <s v="London"/>
    <s v="Public"/>
    <s v="No"/>
    <s v="Public/Private"/>
    <s v="Scoping"/>
    <s v="TBC"/>
    <s v="various"/>
    <n v="394"/>
    <m/>
    <n v="-5"/>
    <n v="-23"/>
    <n v="47"/>
    <n v="63"/>
    <n v="266"/>
    <n v="46"/>
    <s v="Estimated"/>
    <s v="Nominal"/>
    <s v="2012/13"/>
    <s v="http://www.tfl.gov.uk/corporate/about-tfl/investorrelations/1462.aspx"/>
    <s v="TFL submission to DfT/HMT during this summer’s spending review. Does not incorporate changes since then"/>
    <m/>
    <m/>
    <n v="-5"/>
    <n v="-22.482893450635387"/>
    <n v="45.086657515034489"/>
    <n v="59.366706170780674"/>
    <n v="246.46944548122647"/>
    <n v="39.4927899024024"/>
    <n v="76.970470235179775"/>
    <n v="285.96223538362887"/>
    <n v="367.93270561880865"/>
  </r>
  <r>
    <x v="4"/>
    <s v="London"/>
    <s v="Surface Renewals London"/>
    <s v="Surface Transport: Roads Upgrade Programme"/>
    <m/>
    <m/>
    <m/>
    <s v="London"/>
    <s v="Public"/>
    <s v="No"/>
    <s v="Public/Private"/>
    <s v="Active Programme"/>
    <s v="Started"/>
    <s v="various"/>
    <n v="1041"/>
    <m/>
    <n v="67"/>
    <n v="124"/>
    <n v="157"/>
    <n v="94"/>
    <n v="508"/>
    <n v="91"/>
    <s v="Estimated"/>
    <s v="Nominal"/>
    <s v="2012/13"/>
    <s v="http://www.tfl.gov.uk/corporate/about-tfl/investorrelations/1462.aspx"/>
    <s v="TFL submission to DfT/HMT during this summer’s spending review. Does not incorporate changes since then"/>
    <m/>
    <m/>
    <n v="67"/>
    <n v="121.21212121212122"/>
    <n v="150.60862191192371"/>
    <n v="88.578894921482274"/>
    <n v="470.70104625737991"/>
    <n v="78.12704089388302"/>
    <n v="427.39963804552724"/>
    <n v="548.82808715126293"/>
    <n v="909.22772519679017"/>
  </r>
  <r>
    <x v="4"/>
    <s v="London"/>
    <s v="Surface Transport: Roads Upgrade Programme"/>
    <s v="Technology to enhance reliability of existing network inc. tackling pinch-points"/>
    <m/>
    <m/>
    <m/>
    <s v="London"/>
    <s v="Public"/>
    <s v="No"/>
    <s v="Public/Private"/>
    <s v="Active Programme"/>
    <s v="Started"/>
    <s v="various"/>
    <n v="517"/>
    <m/>
    <n v="34"/>
    <n v="61"/>
    <n v="66"/>
    <n v="66"/>
    <n v="249"/>
    <n v="41"/>
    <s v="Estimated"/>
    <s v="Nominal"/>
    <s v="2012/13"/>
    <s v="http://www.tfl.gov.uk/corporate/about-tfl/investorrelations/1462.aspx"/>
    <s v="TFL submission to DfT/HMT during this summer’s spending review. Does not incorporate changes since then"/>
    <m/>
    <m/>
    <n v="34"/>
    <n v="59.628543499511245"/>
    <n v="63.313178638133536"/>
    <n v="62.193692178913089"/>
    <n v="230.71763881513306"/>
    <n v="35.200095347793443"/>
    <n v="219.13541431655787"/>
    <n v="265.91773416292648"/>
    <n v="451.05314847948432"/>
  </r>
  <r>
    <x v="4"/>
    <s v="London"/>
    <s v="Surface Transport: Roads Upgrade Programme"/>
    <s v="Major road schemes"/>
    <m/>
    <m/>
    <m/>
    <s v="London"/>
    <s v="Public"/>
    <s v="No"/>
    <s v="Public/Private"/>
    <s v="Active Programme"/>
    <s v="Started"/>
    <s v="various"/>
    <n v="521"/>
    <m/>
    <n v="7"/>
    <n v="25"/>
    <n v="59"/>
    <n v="60"/>
    <n v="320"/>
    <n v="50"/>
    <s v="Estimated"/>
    <s v="Nominal"/>
    <s v="2012/13"/>
    <s v="http://www.tfl.gov.uk/corporate/about-tfl/investorrelations/1462.aspx"/>
    <s v="TFL submission to DfT/HMT during this summer’s spending review. Does not incorporate changes since then"/>
    <m/>
    <m/>
    <n v="7"/>
    <n v="24.437927663734115"/>
    <n v="56.598144540149676"/>
    <n v="56.539720162648258"/>
    <n v="296.50459606764088"/>
    <n v="42.92694554608957"/>
    <n v="144.57579236653206"/>
    <n v="339.43154161373047"/>
    <n v="477.0073339802625"/>
  </r>
  <r>
    <x v="4"/>
    <s v="London"/>
    <s v="Surface Transport: Roads Upgrade Programme"/>
    <s v="Bus priority"/>
    <m/>
    <m/>
    <m/>
    <s v="London"/>
    <s v="Public"/>
    <s v="No"/>
    <s v="Public/Private"/>
    <s v="Active Programme"/>
    <s v="Started"/>
    <s v="various"/>
    <n v="79"/>
    <m/>
    <m/>
    <n v="2"/>
    <n v="4"/>
    <n v="8"/>
    <n v="60"/>
    <n v="5"/>
    <s v="Estimated"/>
    <s v="Nominal"/>
    <s v="2012/13"/>
    <s v="http://www.tfl.gov.uk/corporate/about-tfl/investorrelations/1462.aspx"/>
    <s v="TFL submission to DfT/HMT during this summer’s spending review. Does not incorporate changes since then"/>
    <m/>
    <m/>
    <n v="0"/>
    <n v="1.9550342130987293"/>
    <n v="3.8371623417050627"/>
    <n v="7.5386293550197685"/>
    <n v="55.594611762682668"/>
    <n v="4.292694554608957"/>
    <n v="13.33082590982356"/>
    <n v="59.887306317291625"/>
    <n v="73.218132227115177"/>
  </r>
  <r>
    <x v="4"/>
    <s v="London"/>
    <s v="Surface Transport: Roads Upgrade Programme"/>
    <s v="Cycling programme"/>
    <m/>
    <m/>
    <m/>
    <s v="London"/>
    <s v="Public"/>
    <s v="No"/>
    <s v="Public/Private"/>
    <s v="Active Programme"/>
    <s v="Started"/>
    <s v="various"/>
    <n v="292"/>
    <m/>
    <n v="25"/>
    <n v="66"/>
    <n v="52"/>
    <n v="46"/>
    <n v="95"/>
    <n v="8"/>
    <s v="Estimated"/>
    <s v="Nominal"/>
    <s v="2012/13"/>
    <s v="http://www.tfl.gov.uk/corporate/about-tfl/investorrelations/1462.aspx"/>
    <s v="TFL submission to DfT/HMT during this summer’s spending review. Does not incorporate changes since then"/>
    <m/>
    <m/>
    <n v="25"/>
    <n v="64.516129032258064"/>
    <n v="49.883110442165815"/>
    <n v="43.34711879136367"/>
    <n v="88.024801957580891"/>
    <n v="6.8683112873743308"/>
    <n v="182.74635826578756"/>
    <n v="94.893113244955217"/>
    <n v="252.63947151074279"/>
  </r>
  <r>
    <x v="4"/>
    <s v="London"/>
    <s v="Surface Transport: Roads Upgrade Programme"/>
    <s v="Road safety"/>
    <m/>
    <m/>
    <m/>
    <s v="London"/>
    <s v="Public"/>
    <s v="No"/>
    <s v="Public/Private"/>
    <s v="Active Programme"/>
    <s v="Started"/>
    <s v="various"/>
    <n v="108"/>
    <m/>
    <m/>
    <n v="19"/>
    <n v="26"/>
    <n v="8"/>
    <n v="44"/>
    <n v="11"/>
    <s v="Estimated"/>
    <s v="Nominal"/>
    <s v="2012/13"/>
    <s v="http://www.tfl.gov.uk/corporate/about-tfl/investorrelations/1462.aspx"/>
    <s v="TFL submission to DfT/HMT during this summer’s spending review. Does not incorporate changes since then"/>
    <m/>
    <m/>
    <n v="0"/>
    <n v="18.572825024437929"/>
    <n v="24.941555221082908"/>
    <n v="7.5386293550197685"/>
    <n v="40.769381959300624"/>
    <n v="9.4439280201397047"/>
    <n v="51.053009600540605"/>
    <n v="50.213309979440325"/>
    <n v="101.26631957998093"/>
  </r>
  <r>
    <x v="4"/>
    <s v="London"/>
    <s v="The Tube - Line upgrades"/>
    <m/>
    <m/>
    <s v="Northern line upgrade"/>
    <m/>
    <s v="London"/>
    <s v="Public"/>
    <s v="No"/>
    <s v="Public/Private"/>
    <s v="In Construction"/>
    <n v="2010"/>
    <n v="2014"/>
    <n v="329"/>
    <m/>
    <n v="90"/>
    <n v="80"/>
    <n v="125"/>
    <n v="16"/>
    <n v="18"/>
    <m/>
    <s v="Estimated"/>
    <s v="Nominal"/>
    <s v="2012/13"/>
    <s v="http://www.tfl.gov.uk/corporate/about-tfl/investorrelations/1462.aspx"/>
    <s v="TFL submission to DfT/HMT during this summer’s spending review. Does not incorporate changes since then"/>
    <m/>
    <s v="Yes"/>
    <n v="90"/>
    <n v="78.201368523949171"/>
    <n v="119.91132317828321"/>
    <n v="15.077258710039537"/>
    <n v="16.678383528804801"/>
    <n v="0"/>
    <n v="303.18995041227191"/>
    <n v="16.678383528804801"/>
    <n v="229.86833394107668"/>
  </r>
  <r>
    <x v="4"/>
    <s v="London"/>
    <s v="The Tube - Line upgrades"/>
    <m/>
    <m/>
    <s v="Northern line upgrade part 2 (&amp; Jubilee extra trains)"/>
    <m/>
    <s v="London"/>
    <s v="Public"/>
    <s v="No"/>
    <s v="Public/Private"/>
    <s v="In Construction"/>
    <n v="2010"/>
    <n v="2020"/>
    <n v="728"/>
    <m/>
    <n v="1"/>
    <n v="2"/>
    <n v="8"/>
    <n v="22"/>
    <n v="513"/>
    <n v="182"/>
    <s v="Estimated"/>
    <s v="Nominal"/>
    <s v="2012/13"/>
    <s v="http://www.tfl.gov.uk/corporate/about-tfl/investorrelations/1462.aspx"/>
    <s v="TFL submission to DfT/HMT during this summer’s spending review. Does not incorporate changes since then"/>
    <m/>
    <s v="Yes"/>
    <n v="1"/>
    <n v="1.9550342130987293"/>
    <n v="7.6743246834101253"/>
    <n v="20.731230726304361"/>
    <n v="475.33393057093679"/>
    <n v="156.25408178776604"/>
    <n v="31.360589622813215"/>
    <n v="631.58801235870283"/>
    <n v="661.94860198151605"/>
  </r>
  <r>
    <x v="4"/>
    <s v="London"/>
    <s v="The Tube - Line upgrades"/>
    <m/>
    <m/>
    <s v="Northern line extension (net zero impact on PSBR since privately financed, gross capital costs shown here)"/>
    <m/>
    <s v="London"/>
    <s v="Public"/>
    <s v="No"/>
    <s v="Public/Private"/>
    <s v="Scoping"/>
    <n v="2015"/>
    <n v="2020"/>
    <n v="1009"/>
    <m/>
    <m/>
    <n v="25"/>
    <n v="87"/>
    <n v="88"/>
    <n v="809"/>
    <m/>
    <s v="Estimated"/>
    <s v="Nominal"/>
    <s v="2012/13"/>
    <s v="http://www.tfl.gov.uk/corporate/about-tfl/investorrelations/1462.aspx"/>
    <s v="TFL submission to DfT/HMT during this summer’s spending review. Does not incorporate changes since then"/>
    <m/>
    <s v="Yes"/>
    <n v="0"/>
    <n v="24.437927663734115"/>
    <n v="83.458280932085117"/>
    <n v="82.924922905217443"/>
    <n v="749.60068193350457"/>
    <n v="0"/>
    <n v="190.82113150103669"/>
    <n v="749.60068193350457"/>
    <n v="940.42181343454126"/>
  </r>
  <r>
    <x v="4"/>
    <s v="London"/>
    <s v="The Tube - Line upgrades"/>
    <m/>
    <m/>
    <s v="Sub-surface upgrade"/>
    <m/>
    <s v="London"/>
    <s v="Public"/>
    <s v="No"/>
    <s v="Public/Private"/>
    <s v="In Construction"/>
    <n v="2010"/>
    <n v="2018"/>
    <n v="2737"/>
    <m/>
    <n v="592"/>
    <n v="637"/>
    <n v="611"/>
    <n v="379"/>
    <n v="518"/>
    <m/>
    <s v="Estimated"/>
    <s v="Nominal"/>
    <s v="2012/13"/>
    <s v="http://www.tfl.gov.uk/corporate/about-tfl/investorrelations/1462.aspx"/>
    <s v="TFL submission to DfT/HMT during this summer’s spending review. Does not incorporate changes since then"/>
    <m/>
    <s v="Yes"/>
    <n v="592"/>
    <n v="622.67839687194532"/>
    <n v="586.12654769544827"/>
    <n v="357.14256569406155"/>
    <n v="479.96681488449366"/>
    <n v="0"/>
    <n v="2157.9475102614551"/>
    <n v="479.96681488449366"/>
    <n v="2045.9143251459486"/>
  </r>
  <r>
    <x v="4"/>
    <s v="London"/>
    <s v="The Tube - Line upgrades"/>
    <s v="Future Tube Upgrades"/>
    <m/>
    <m/>
    <m/>
    <s v="London"/>
    <s v="Public"/>
    <s v="No"/>
    <s v="Public/Private"/>
    <s v="Active Programme"/>
    <n v="2010"/>
    <s v="2020/30"/>
    <n v="2998"/>
    <m/>
    <m/>
    <n v="25"/>
    <n v="49"/>
    <n v="92"/>
    <n v="2246"/>
    <n v="586"/>
    <s v="Estimated"/>
    <s v="Nominal"/>
    <s v="2012/13"/>
    <s v="http://www.tfl.gov.uk/corporate/about-tfl/investorrelations/1462.aspx"/>
    <s v="TFL submission to DfT/HMT during this summer’s spending review. Does not incorporate changes since then"/>
    <m/>
    <m/>
    <n v="0"/>
    <n v="24.437927663734115"/>
    <n v="47.005238685887015"/>
    <n v="86.694237582727339"/>
    <n v="2081.0916336497544"/>
    <n v="503.10380180016972"/>
    <n v="158.13740393234846"/>
    <n v="2584.1954354499239"/>
    <n v="2742.3328393822726"/>
  </r>
  <r>
    <x v="4"/>
    <s v="London"/>
    <s v="Sub-Surface Renewals London"/>
    <s v="The Tube - Line Upgrades Non-upgrade core asset renewal, including track, signals, legacy trains and signalling, lifts and escalators and other station assets"/>
    <m/>
    <m/>
    <m/>
    <s v="London"/>
    <s v="Public"/>
    <s v="No"/>
    <s v="Public/Private"/>
    <s v="Active Programme"/>
    <n v="2010"/>
    <s v="various"/>
    <n v="3793"/>
    <m/>
    <n v="348"/>
    <n v="492"/>
    <n v="420"/>
    <n v="372"/>
    <n v="1743"/>
    <n v="418"/>
    <s v="Estimated"/>
    <s v="Nominal"/>
    <s v="2012/13"/>
    <s v="http://www.tfl.gov.uk/corporate/about-tfl/investorrelations/1462.aspx"/>
    <s v="TFL submission to DfT/HMT during this summer’s spending review. Does not incorporate changes since then"/>
    <m/>
    <m/>
    <n v="348"/>
    <n v="480.93841642228739"/>
    <n v="402.90204587903156"/>
    <n v="350.5462650084192"/>
    <n v="1615.0234717059313"/>
    <n v="358.8692647653088"/>
    <n v="1582.386727309738"/>
    <n v="1973.8927364712401"/>
    <n v="3208.2794637809784"/>
  </r>
  <r>
    <x v="4"/>
    <s v="London"/>
    <s v="The Tube - Line upgrades"/>
    <s v="Tube Reliability Programme"/>
    <m/>
    <m/>
    <m/>
    <s v="London"/>
    <s v="Public"/>
    <s v="No"/>
    <s v="Public/Private"/>
    <s v="Active Programme"/>
    <n v="2010"/>
    <n v="2015"/>
    <n v="265"/>
    <m/>
    <n v="26"/>
    <n v="88"/>
    <n v="151"/>
    <m/>
    <m/>
    <m/>
    <s v="Estimated"/>
    <s v="Nominal"/>
    <s v="2012/13"/>
    <s v="http://www.tfl.gov.uk/corporate/about-tfl/investorrelations/1462.aspx"/>
    <s v="TFL submission to DfT/HMT during this summer’s spending review. Does not incorporate changes since then"/>
    <m/>
    <m/>
    <n v="26"/>
    <n v="86.021505376344095"/>
    <n v="144.85287839936612"/>
    <n v="0"/>
    <n v="0"/>
    <n v="0"/>
    <n v="256.87438377571021"/>
    <n v="0"/>
    <n v="230.87438377571021"/>
  </r>
  <r>
    <x v="4"/>
    <s v="London"/>
    <s v="Tramlink"/>
    <m/>
    <m/>
    <s v="Platform works at Wimbledon"/>
    <m/>
    <s v="London"/>
    <s v="Public"/>
    <s v="No"/>
    <s v="Public/Private"/>
    <s v="In Construction"/>
    <n v="2010"/>
    <n v="2015"/>
    <n v="14"/>
    <m/>
    <m/>
    <n v="11"/>
    <n v="3"/>
    <m/>
    <m/>
    <m/>
    <s v="Estimated"/>
    <s v="Nominal"/>
    <s v="2012/13"/>
    <s v="http://www.tfl.gov.uk/corporate/about-tfl/investorrelations/1462.aspx"/>
    <s v="TFL submission to DfT/HMT during this summer’s spending review. Does not incorporate changes since then"/>
    <m/>
    <m/>
    <n v="0"/>
    <n v="10.752688172043012"/>
    <n v="2.8778717562787968"/>
    <n v="0"/>
    <n v="0"/>
    <n v="0"/>
    <n v="13.630559928321809"/>
    <n v="0"/>
    <n v="13.630559928321809"/>
  </r>
  <r>
    <x v="4"/>
    <s v="London"/>
    <s v="Tramlink"/>
    <m/>
    <m/>
    <s v="Procurement of four additional trams(included in figures above)"/>
    <m/>
    <s v="London"/>
    <s v="Public"/>
    <s v="No"/>
    <s v="Public/Private"/>
    <s v="In Construction"/>
    <n v="2010"/>
    <n v="2015"/>
    <n v="9"/>
    <m/>
    <m/>
    <n v="3"/>
    <n v="6"/>
    <m/>
    <m/>
    <m/>
    <s v="Estimated"/>
    <s v="Nominal"/>
    <s v="2012/13"/>
    <s v="http://www.tfl.gov.uk/corporate/about-tfl/investorrelations/1462.aspx"/>
    <s v="TFL submission to DfT/HMT during this summer’s spending review. Does not incorporate changes since then"/>
    <m/>
    <m/>
    <n v="0"/>
    <n v="2.9325513196480939"/>
    <n v="5.7557435125575935"/>
    <n v="0"/>
    <n v="0"/>
    <n v="0"/>
    <n v="8.6882948322056883"/>
    <n v="0"/>
    <n v="8.6882948322056883"/>
  </r>
  <r>
    <x v="4"/>
    <s v="Ports"/>
    <s v="Container ports"/>
    <m/>
    <m/>
    <s v="Bristol"/>
    <s v="Container terminal "/>
    <s v="South West"/>
    <s v="Private"/>
    <s v="No"/>
    <s v="Private"/>
    <s v="Consents Approved"/>
    <n v="2018"/>
    <n v="2019"/>
    <n v="600"/>
    <m/>
    <m/>
    <m/>
    <m/>
    <m/>
    <m/>
    <m/>
    <s v="Estimated"/>
    <s v="Nominal"/>
    <m/>
    <s v="http://www.bristolport.co.uk/"/>
    <s v="DfT"/>
    <s v="Start delayed for at least 5 more years, pending demand. "/>
    <s v="Yes"/>
    <n v="0"/>
    <n v="0"/>
    <n v="0"/>
    <n v="0"/>
    <n v="0"/>
    <n v="0"/>
    <n v="0"/>
    <n v="0"/>
    <n v="0"/>
  </r>
  <r>
    <x v="4"/>
    <s v="Ports"/>
    <s v="Container ports"/>
    <m/>
    <m/>
    <s v="Felixstowe South"/>
    <s v="Container terminal"/>
    <s v="East of England"/>
    <s v="Private"/>
    <s v="No"/>
    <s v="Private"/>
    <s v="Scoping"/>
    <n v="2014"/>
    <n v="2019"/>
    <n v="300"/>
    <m/>
    <m/>
    <m/>
    <m/>
    <m/>
    <m/>
    <m/>
    <s v="Estimated"/>
    <s v="Nominal"/>
    <m/>
    <s v="http://www.portoffelixstowe.co.uk/"/>
    <s v="DfT"/>
    <s v="First phase opened 2011.  Second phase, which triggers substantial s.106 rail obligations, on hold pending demand outlook.  "/>
    <s v="Yes"/>
    <n v="0"/>
    <n v="0"/>
    <n v="0"/>
    <n v="0"/>
    <n v="0"/>
    <n v="0"/>
    <n v="0"/>
    <n v="0"/>
    <n v="0"/>
  </r>
  <r>
    <x v="4"/>
    <s v="Ports"/>
    <s v="Container ports"/>
    <m/>
    <m/>
    <s v="Mersey (Seaforth)"/>
    <s v="Container terminal "/>
    <s v="North West"/>
    <s v="Private"/>
    <s v="No"/>
    <s v="Private"/>
    <s v="Scoping"/>
    <n v="2016"/>
    <n v="2018"/>
    <n v="300"/>
    <n v="35"/>
    <m/>
    <m/>
    <m/>
    <m/>
    <m/>
    <m/>
    <s v="Estimated"/>
    <s v="Nominal"/>
    <m/>
    <s v="http://peelports.co.uk/port-authorities/port-of-liverpool"/>
    <s v="DfT"/>
    <s v="Terminal and berth dredge started as at 13Q4.  Bay dredge awaited."/>
    <s v="Yes"/>
    <n v="0"/>
    <n v="0"/>
    <n v="0"/>
    <n v="0"/>
    <n v="0"/>
    <n v="0"/>
    <n v="0"/>
    <n v="0"/>
    <n v="0"/>
  </r>
  <r>
    <x v="4"/>
    <s v="Ports"/>
    <s v="Container ports"/>
    <m/>
    <m/>
    <s v="Southampton"/>
    <s v="Container terminal "/>
    <s v="South East"/>
    <s v="Private"/>
    <s v="No"/>
    <s v="Private"/>
    <s v="In Construction"/>
    <n v="2012"/>
    <n v="2019"/>
    <n v="150"/>
    <m/>
    <m/>
    <m/>
    <m/>
    <m/>
    <m/>
    <m/>
    <s v="Estimated"/>
    <s v="Nominal"/>
    <m/>
    <s v="http://www.abports.co.uk/"/>
    <s v="DfT"/>
    <s v="Marine licences and funding secured.  Under development. "/>
    <s v="Yes"/>
    <n v="0"/>
    <n v="0"/>
    <n v="0"/>
    <n v="0"/>
    <n v="0"/>
    <n v="0"/>
    <n v="0"/>
    <n v="0"/>
    <n v="0"/>
  </r>
  <r>
    <x v="4"/>
    <s v="Ports"/>
    <s v="Container ports"/>
    <m/>
    <m/>
    <s v="Teesport"/>
    <s v="Container terminal "/>
    <s v="North East"/>
    <s v="Private"/>
    <s v="No"/>
    <s v="Private"/>
    <s v="Consents Approved"/>
    <n v="2013"/>
    <n v="2017"/>
    <n v="29"/>
    <m/>
    <m/>
    <m/>
    <m/>
    <m/>
    <m/>
    <m/>
    <s v="Estimated"/>
    <s v="Nominal"/>
    <m/>
    <s v="http://www.pdports.co.uk/en/our-locations/teesport/"/>
    <s v="DfT"/>
    <s v="Project scaled back under present port ownership. "/>
    <s v="Yes"/>
    <n v="0"/>
    <n v="0"/>
    <n v="0"/>
    <n v="0"/>
    <n v="0"/>
    <n v="0"/>
    <n v="0"/>
    <n v="0"/>
    <n v="0"/>
  </r>
  <r>
    <x v="4"/>
    <s v="Rail"/>
    <s v="Network Rail"/>
    <s v="Access for All Main Programme"/>
    <m/>
    <m/>
    <s v="CP4"/>
    <s v="UK"/>
    <s v="Private"/>
    <s v="Yes"/>
    <s v="Public/Private"/>
    <s v="Active Programme"/>
    <n v="2009"/>
    <n v="2014"/>
    <n v="246"/>
    <m/>
    <n v="18.8"/>
    <n v="85.532746823069402"/>
    <m/>
    <m/>
    <m/>
    <m/>
    <s v="Estimated"/>
    <s v="Constant"/>
    <s v="2012/13"/>
    <s v="http://www.rail-reg.gov.uk/server/show/nav.2177"/>
    <s v="NR enhancement plan - and ORR CP5 final determination"/>
    <m/>
    <m/>
    <n v="18.8"/>
    <n v="85.532746823069417"/>
    <n v="0"/>
    <n v="0"/>
    <n v="0"/>
    <n v="0"/>
    <n v="104.33274682306941"/>
    <n v="0"/>
    <n v="85.532746823069417"/>
  </r>
  <r>
    <x v="4"/>
    <s v="Rail"/>
    <s v="Network Rail"/>
    <m/>
    <m/>
    <s v="Aberdeen to Inverness journey time improvements and other enhancements"/>
    <s v="CP5. A programme of works to support journey time and performance improvements;"/>
    <s v="Scotland"/>
    <s v="Private"/>
    <s v="Yes"/>
    <s v="Public/Private"/>
    <s v="Scoping"/>
    <s v="TBC"/>
    <s v="TBC"/>
    <n v="227.6"/>
    <m/>
    <m/>
    <m/>
    <n v="103.06175879999999"/>
    <n v="113.08337039999999"/>
    <n v="11.450976075"/>
    <m/>
    <s v="See notes"/>
    <s v="Constant"/>
    <s v="2012/13"/>
    <s v="http://www.rail-reg.gov.uk/pr13/publications/final-determination.php"/>
    <s v="NR draft plan - and ORR CP5 final determination"/>
    <s v="16/21 figures are 16/17 spend only, the balance of  CP5 spend is included in the other investments row. Capex are only to 16/17_x000a_Figures are provisional, pending NR CP5 enhancement plan. Dates to be confirmed."/>
    <m/>
    <n v="0"/>
    <n v="0"/>
    <n v="103.06175879999999"/>
    <n v="113.08337039999998"/>
    <n v="11.450976074999998"/>
    <n v="0"/>
    <n v="216.14512919999999"/>
    <n v="11.450976074999998"/>
    <n v="227.59610527499999"/>
  </r>
  <r>
    <x v="4"/>
    <s v="Rail"/>
    <s v="Network Rail - electrification"/>
    <m/>
    <m/>
    <s v="Electric Spine - Basingstoke to Southampton DC to AC conversion"/>
    <s v="CP5. Conversion of the power supply on the South West Main Line between Southampton Central and Basingstoke from 750V DC third rail to 25kV AC overhead as part of a scheme to provide improved rail freight capacity from Southampton Port."/>
    <s v="South East"/>
    <s v="Private"/>
    <s v="Yes"/>
    <s v="Public/Private"/>
    <s v="Scoping"/>
    <s v="TBC"/>
    <s v="TBC"/>
    <n v="316.3"/>
    <m/>
    <m/>
    <m/>
    <n v="73.244966024999997"/>
    <n v="119.88055464"/>
    <n v="123.17636099999999"/>
    <m/>
    <s v="See notes"/>
    <s v="Constant"/>
    <s v="2012/13"/>
    <s v="http://www.rail-reg.gov.uk/pr13/publications/final-determination.php"/>
    <s v="NR draft plan - and ORR CP5 final determination"/>
    <s v="16/21 figures are 16/17 spend only, the balance of  CP5 spend is included in the other investments row. Capex are only to 16/17_x000a_Figures are provisional, pending NR CP5 enhancement plan. Dates to be confirmed."/>
    <s v="Yes"/>
    <n v="0"/>
    <n v="0"/>
    <n v="73.244966024999997"/>
    <n v="119.88055463999999"/>
    <n v="123.17636099999999"/>
    <n v="0"/>
    <n v="193.12552066499998"/>
    <n v="123.17636099999999"/>
    <n v="316.301881665"/>
  </r>
  <r>
    <x v="4"/>
    <s v="Rail"/>
    <s v="Network Rail - electrification"/>
    <m/>
    <m/>
    <s v="Welsh Valleys electrification"/>
    <s v="CP5. Electrification of Welsh Valley lines network, enabling more efficient operation of passenger services."/>
    <s v="Wales"/>
    <s v="Private"/>
    <s v="Yes"/>
    <s v="Public/Private"/>
    <s v="Scoping"/>
    <s v="TBC"/>
    <s v="TBC"/>
    <n v="221.52"/>
    <m/>
    <m/>
    <m/>
    <n v="26.367999999999999"/>
    <n v="55.002000000000002"/>
    <n v="140.15209999999999"/>
    <m/>
    <s v="See notes"/>
    <s v="Constant"/>
    <s v="2012/13"/>
    <s v="http://www.rail-reg.gov.uk/pr13/publications/final-determination.php"/>
    <s v="NR draft plan - and ORR CP5 final determination"/>
    <s v="16/21 figures are 16/17 spend only, the balance of  CP5 spend is included in the other investments row. Capex are only to 16/17_x000a_Figures are provisional, pending NR CP5 enhancement plan. Dates to be confirmed."/>
    <s v="Yes"/>
    <n v="0"/>
    <n v="0"/>
    <n v="26.367999999999999"/>
    <n v="55.001999999999995"/>
    <n v="140.15209999999999"/>
    <n v="0"/>
    <n v="81.36999999999999"/>
    <n v="140.15209999999999"/>
    <n v="221.52209999999997"/>
  </r>
  <r>
    <x v="4"/>
    <s v="Rail"/>
    <s v="Network Rail - electrification"/>
    <m/>
    <m/>
    <s v="Great Western Electrification"/>
    <s v="CP5. Electrifying the Great Western railway to deliver more reliable, greener and quieter journeys for thousands of passengers."/>
    <s v="South West"/>
    <s v="Private"/>
    <s v="Yes"/>
    <s v="Public/Private"/>
    <s v="In Construction"/>
    <n v="2012"/>
    <n v="2017"/>
    <n v="763.47"/>
    <m/>
    <m/>
    <n v="162.69794721407624"/>
    <n v="256.07859999999999"/>
    <n v="220.6157"/>
    <n v="120.3349"/>
    <m/>
    <s v="See notes"/>
    <s v="Constant"/>
    <s v="2012/13"/>
    <s v="http://www.rail-reg.gov.uk/pr13/publications/final-determination.php"/>
    <s v="NR draft plan - and ORR CP5 final determination"/>
    <s v="16/21 figures are 16/17 spend only, the balance of  CP5 spend is included in the other investments row. Capex are only to 16/17_x000a_Figures are provisional, pending NR CP5 enhancement plan. Dates to be confirmed."/>
    <s v="Yes"/>
    <n v="0"/>
    <n v="162.69794721407624"/>
    <n v="256.07859999999999"/>
    <n v="220.6157"/>
    <n v="120.3349"/>
    <n v="0"/>
    <n v="639.39224721407618"/>
    <n v="120.3349"/>
    <n v="759.72714721407624"/>
  </r>
  <r>
    <x v="4"/>
    <s v="Rail"/>
    <s v="Network Rail - electrification"/>
    <m/>
    <m/>
    <s v="Midland Mainline Electrication"/>
    <s v="CP5. Electrification of the Midland Mainline, which runs from London to Sheffield via the East Midlands, to allow for more reliable and faster trains."/>
    <s v="East Midlands"/>
    <s v="Private"/>
    <s v="Yes"/>
    <s v="Public/Private"/>
    <s v="Scoping"/>
    <n v="2014"/>
    <n v="2018"/>
    <n v="373.46"/>
    <m/>
    <m/>
    <m/>
    <n v="113.26300755000001"/>
    <n v="150.94279200000003"/>
    <n v="109.254481875"/>
    <m/>
    <s v="See notes"/>
    <s v="Constant"/>
    <s v="2012/13"/>
    <s v="http://www.rail-reg.gov.uk/pr13/publications/final-determination.php"/>
    <s v="NR draft plan - and ORR CP5 final determination"/>
    <s v="16/21 figures are 16/17 spend only, the balance of  CP5 spend is included in the other investments row. Capex are only to 16/17_x000a_Figures are provisional, pending NR CP5 enhancement plan. Dates to be confirmed."/>
    <s v="Yes"/>
    <n v="0"/>
    <n v="0"/>
    <n v="113.26300755000003"/>
    <n v="150.94279200000003"/>
    <n v="109.254481875"/>
    <n v="0"/>
    <n v="264.20579955000005"/>
    <n v="109.254481875"/>
    <n v="373.46028142500006"/>
  </r>
  <r>
    <x v="4"/>
    <s v="Rail"/>
    <s v="Network Rail - electrification"/>
    <m/>
    <m/>
    <s v="North West Electrification (Northern Hub)"/>
    <s v="CP4/5. Electrification of North West lines, significant part of Northern Hub "/>
    <s v="North West"/>
    <s v="Private"/>
    <s v="Yes"/>
    <s v="Public/Private"/>
    <s v="In Construction"/>
    <n v="2013"/>
    <n v="2018"/>
    <n v="184.41"/>
    <m/>
    <m/>
    <n v="68.269794721407621"/>
    <n v="106.95726000000001"/>
    <n v="7.2645900000000001"/>
    <n v="0.34608"/>
    <m/>
    <s v="See notes"/>
    <s v="Constant"/>
    <s v="2012/13"/>
    <s v="http://www.rail-reg.gov.uk/pr13/publications/final-determination.php"/>
    <s v="NR draft plan - and ORR CP5 final determination"/>
    <s v="16/21 figures are 16/17 spend only, the balance of  CP5 spend is included in the other investments row. Capex are only to 16/17_x000a_Figures are provisional, pending NR CP5 enhancement plan. Dates to be confirmed."/>
    <s v="Yes"/>
    <n v="0"/>
    <n v="68.269794721407621"/>
    <n v="106.95726000000001"/>
    <n v="7.264590000000001"/>
    <n v="0.34607999999999994"/>
    <n v="0"/>
    <n v="182.49164472140762"/>
    <n v="0.34607999999999994"/>
    <n v="182.83772472140762"/>
  </r>
  <r>
    <x v="4"/>
    <s v="Rail"/>
    <s v="Network Rail - Other"/>
    <s v="CP4 - Other investment - Enhancements"/>
    <m/>
    <m/>
    <s v="CP4 Network Rail's enhancements programme - delivery of those projects/programmes not shown individually to increase performance/capacity of rail network"/>
    <s v="UK"/>
    <s v="Private"/>
    <s v="Yes"/>
    <s v="Public/Private"/>
    <s v="Active Programme"/>
    <n v="2009"/>
    <n v="2014"/>
    <n v="2232.4211660002552"/>
    <m/>
    <n v="661.64399999999978"/>
    <n v="960.89765281978907"/>
    <m/>
    <m/>
    <m/>
    <m/>
    <s v="See notes"/>
    <s v="Constant"/>
    <s v="2012/13"/>
    <s v="http://www.rail-reg.gov.uk/server/show/nav.2177"/>
    <s v="NR enhancement plan "/>
    <m/>
    <m/>
    <n v="661.64399999999978"/>
    <n v="960.89765281978907"/>
    <n v="0"/>
    <n v="0"/>
    <n v="0"/>
    <n v="0"/>
    <n v="1622.5416528197889"/>
    <n v="0"/>
    <n v="960.89765281978907"/>
  </r>
  <r>
    <x v="4"/>
    <s v="Rail"/>
    <s v="Network Rail - Other"/>
    <s v="CP5 - Other investment - Enhancements"/>
    <m/>
    <m/>
    <s v="CP5. Network Rail's enhancements programme - delivery of those projects/programmes not shown individually to increase performance/capacity of rail network"/>
    <s v="UK"/>
    <s v="Private"/>
    <s v="Yes"/>
    <s v="Public/Private"/>
    <s v="Scoping"/>
    <n v="2014"/>
    <n v="2019"/>
    <n v="6528.08"/>
    <m/>
    <m/>
    <m/>
    <n v="533.39"/>
    <n v="677.88"/>
    <n v="5316.8099999999995"/>
    <m/>
    <s v="See notes"/>
    <s v="Constant"/>
    <s v="2012/13"/>
    <s v="http://www.rail-reg.gov.uk/pr13/publications/final-determination.php"/>
    <s v="NR draft plan - and ORR CP5 final determination"/>
    <s v="16/21 figures are 16/17 spend only, the balance of  CP5 spend is included in the other investments row. Capex are only to 16/17_x000a_Figures are provisional, pending NR CP5 enhancement plan. Dates to be confirmed."/>
    <m/>
    <n v="0"/>
    <n v="0"/>
    <n v="533.39"/>
    <n v="677.88"/>
    <n v="5316.81"/>
    <n v="0"/>
    <n v="1211.27"/>
    <n v="5316.81"/>
    <n v="6528.08"/>
  </r>
  <r>
    <x v="4"/>
    <s v="Rail"/>
    <s v="Network Rail - Other"/>
    <s v="CP4 - Other investment - Renewals"/>
    <m/>
    <m/>
    <s v="CP4. Network Rail's renewals programme - delivery modern equivalent replacement of rail infrastructure to maintain required asset standard."/>
    <s v="UK"/>
    <s v="Private"/>
    <s v="Yes"/>
    <s v="Public/Private"/>
    <s v="Active Programme"/>
    <n v="2009"/>
    <n v="2014"/>
    <n v="8694.0913819878115"/>
    <m/>
    <n v="2679.6369999999997"/>
    <n v="3524.4668671426589"/>
    <m/>
    <m/>
    <m/>
    <m/>
    <s v="See notes"/>
    <s v="Constant"/>
    <s v="2012/13"/>
    <s v="http://www.rail-reg.gov.uk/server/show/nav.2177"/>
    <s v="NR draft plan - and ORR CP5 final determination"/>
    <s v="16/21 figures are 16/17 spend only, the balance of  CP5 spend is included in the other investments row. Capex are only to 16/17_x000a_Figures are provisional, pending NR CP5 enhancement plan. Dates to be confirmed."/>
    <m/>
    <n v="2679.6369999999997"/>
    <n v="3524.4668671426589"/>
    <n v="0"/>
    <n v="0"/>
    <n v="0"/>
    <n v="0"/>
    <n v="6204.1038671426586"/>
    <n v="0"/>
    <n v="3524.4668671426589"/>
  </r>
  <r>
    <x v="4"/>
    <s v="Rail"/>
    <s v="Network Rail - Other"/>
    <s v="CP5 - Other investment - Renewals"/>
    <m/>
    <m/>
    <s v="CP5. Network Rail's renewals programme - delivery modern equivalent replacement of rail infrastructure to maintain required asset standard."/>
    <s v="UK"/>
    <s v="Private"/>
    <s v="Yes"/>
    <s v="Public/Private"/>
    <s v="Scoping"/>
    <n v="2014"/>
    <n v="2019"/>
    <n v="12107"/>
    <m/>
    <m/>
    <m/>
    <n v="2508"/>
    <n v="2575"/>
    <n v="7024"/>
    <m/>
    <s v="See notes"/>
    <s v="Constant"/>
    <s v="2012/13"/>
    <s v="http://www.rail-reg.gov.uk/pr13/publications/final-determination.php"/>
    <s v="NR draft plan - and ORR CP5 final determination"/>
    <s v="16/21 figures are 16/17 spend only, the balance of  CP5 spend is included in the other investments row. Capex are only to 16/17_x000a_Figures are provisional, pending NR CP5 enhancement plan. Dates to be confirmed."/>
    <m/>
    <n v="0"/>
    <n v="0"/>
    <n v="2508"/>
    <n v="2575"/>
    <n v="7024"/>
    <n v="0"/>
    <n v="5083"/>
    <n v="7024"/>
    <n v="12107"/>
  </r>
  <r>
    <x v="4"/>
    <s v="Rail"/>
    <s v="Network Rail - Other"/>
    <m/>
    <m/>
    <s v="East Coast Connectivity"/>
    <s v="CP5. Improve capacity and reduce journey times on the East Coast Main Line"/>
    <s v="Yorkshire &amp; the Humber"/>
    <s v="Private"/>
    <s v="Yes"/>
    <s v="Public/Private"/>
    <s v="Scoping"/>
    <s v="TBC"/>
    <s v="TBC"/>
    <n v="217.6"/>
    <m/>
    <m/>
    <m/>
    <n v="13.098970481184899"/>
    <n v="30.805690827428084"/>
    <n v="173.69191884678"/>
    <m/>
    <s v="See notes"/>
    <s v="Constant"/>
    <s v="2012/13"/>
    <s v="http://www.rail-reg.gov.uk/pr13/publications/final-determination.php"/>
    <s v="NR draft plan - and ORR CP5 final determination"/>
    <s v="16/21 figures are 16/17 spend only, the balance of  CP5 spend is included in the other investments row. Capex are only to 16/17_x000a_Figures are provisional, pending NR CP5 enhancement plan. Dates to be confirmed."/>
    <s v="Yes"/>
    <n v="0"/>
    <n v="0"/>
    <n v="13.098970481184899"/>
    <n v="30.805690827428084"/>
    <n v="173.69191884678"/>
    <n v="0"/>
    <n v="43.904661308612987"/>
    <n v="173.69191884678"/>
    <n v="217.59658015539299"/>
  </r>
  <r>
    <x v="4"/>
    <s v="Rail"/>
    <s v="Network Rail - Other"/>
    <m/>
    <m/>
    <s v="East West Rail"/>
    <s v="CP5. Railway route linking the Great Western Main Line, Oxford, Bicester, Milton Keynes, Bedford, Cambridge, Ipswich and Norwich."/>
    <s v="South East"/>
    <s v="Private"/>
    <s v="Yes"/>
    <s v="Public/Private"/>
    <s v="Scoping"/>
    <s v="TBC"/>
    <n v="2017"/>
    <n v="309.69"/>
    <m/>
    <m/>
    <m/>
    <n v="90.846000000000004"/>
    <n v="133.4571"/>
    <n v="85.387"/>
    <m/>
    <s v="See notes"/>
    <s v="Constant"/>
    <s v="2012/13"/>
    <s v="http://www.rail-reg.gov.uk/pr13/publications/final-determination.php"/>
    <s v="NR draft plan - and ORR CP5 final determination"/>
    <s v="16/21 figures are 16/17 spend only, the balance of  CP5 spend is included in the other investments row. Capex are only to 16/17_x000a_Figures are provisional, pending NR CP5 enhancement plan. Dates to be confirmed."/>
    <s v="Yes"/>
    <n v="0"/>
    <n v="0"/>
    <n v="90.846000000000004"/>
    <n v="133.4571"/>
    <n v="85.387"/>
    <n v="0"/>
    <n v="224.3031"/>
    <n v="85.387"/>
    <n v="309.69010000000003"/>
  </r>
  <r>
    <x v="4"/>
    <s v="Rail"/>
    <s v="Network Rail - Other"/>
    <m/>
    <m/>
    <s v="ECML improvements programme"/>
    <s v="CP4. Improvements to the East Coast Main Line between London and York"/>
    <s v="Yorkshire &amp; the Humber"/>
    <s v="Private"/>
    <s v="Yes"/>
    <s v="Public/Private"/>
    <s v="In Construction"/>
    <n v="2011"/>
    <n v="2014"/>
    <n v="582"/>
    <m/>
    <n v="180.203"/>
    <n v="158.2893450635386"/>
    <m/>
    <m/>
    <m/>
    <m/>
    <s v="Confirmed"/>
    <s v="Constant"/>
    <s v="2012/13"/>
    <s v="http://www.rail-reg.gov.uk/server/show/nav.2177"/>
    <s v="NR enhancement plan "/>
    <s v="16/21 figures are 16/17 spend only, the balance of  CP5 spend is included in the other investments row. Capex are only to 16/17_x000a_Figures are provisional, pending NR CP5 enhancement plan."/>
    <s v="Yes"/>
    <n v="180.203"/>
    <n v="158.2893450635386"/>
    <n v="0"/>
    <n v="0"/>
    <n v="0"/>
    <n v="0"/>
    <n v="338.49234506353861"/>
    <n v="0"/>
    <n v="158.2893450635386"/>
  </r>
  <r>
    <x v="4"/>
    <s v="Rail"/>
    <s v="Network Rail - Other"/>
    <m/>
    <m/>
    <s v="Edinburgh Glasgow Improvement Programme"/>
    <s v="CP4/5. A programme of improvements to upgrade the main railway lines between Edinburgh and Glasgow."/>
    <s v="Scotland"/>
    <s v="Private"/>
    <s v="Yes"/>
    <s v="Public/Private"/>
    <s v="In Construction"/>
    <s v="TBC"/>
    <s v="TBC"/>
    <n v="510.37"/>
    <m/>
    <n v="53.281999999999996"/>
    <n v="109.29618768328446"/>
    <n v="141.24698999999998"/>
    <n v="98.663700000000006"/>
    <n v="60.244700000000002"/>
    <m/>
    <m/>
    <s v="Constant"/>
    <s v="2012/13"/>
    <s v="http://www.rail-reg.gov.uk/pr13/publications/final-determination.php"/>
    <s v="NR draft plan - and ORR CP5 final determination"/>
    <s v="16/21 figures are 16/17 spend only, the balance of  CP5 spend is included in the other investments row. Capex are only to 16/17_x000a_Figures are provisional, pending NR CP5 enhancement plan. Dates to be confirmed."/>
    <m/>
    <n v="53.281999999999996"/>
    <n v="109.29618768328446"/>
    <n v="141.24698999999998"/>
    <n v="98.663700000000006"/>
    <n v="60.244700000000002"/>
    <n v="0"/>
    <n v="402.48887768328444"/>
    <n v="60.244700000000002"/>
    <n v="409.45157768328448"/>
  </r>
  <r>
    <x v="4"/>
    <s v="Rail"/>
    <s v="Network Rail - Other"/>
    <m/>
    <m/>
    <s v="Midland Mainline Capacity"/>
    <s v="CP4/5. Increasing capacity on the Midland Mainline, which runs from London to Sheffield via the East Midlands."/>
    <s v="East Midlands"/>
    <s v="Private"/>
    <s v="Yes"/>
    <s v="Public/Private"/>
    <s v="In Construction"/>
    <s v="TBC"/>
    <s v="TBC"/>
    <n v="474.41"/>
    <m/>
    <n v="22.122"/>
    <n v="43.333333333333336"/>
    <n v="89.324077149999994"/>
    <n v="162.52522440000001"/>
    <n v="109.64171295"/>
    <m/>
    <m/>
    <s v="Constant"/>
    <s v="2012/13"/>
    <s v="http://www.rail-reg.gov.uk/server/show/nav.2177"/>
    <s v="NR draft plan - and ORR CP5 final determination"/>
    <s v="16/21 figures are 16/17 spend only, the balance of  CP5 spend is included in the other investments row. Capex are only to 16/17_x000a_Figures are provisional, pending NR CP5 enhancement plan. Dates to be confirmed."/>
    <s v="Yes"/>
    <n v="22.122"/>
    <n v="43.333333333333343"/>
    <n v="89.324077149999994"/>
    <n v="162.52522440000001"/>
    <n v="109.64171295"/>
    <n v="0"/>
    <n v="317.30463488333334"/>
    <n v="109.64171295"/>
    <n v="404.82434783333332"/>
  </r>
  <r>
    <x v="4"/>
    <s v="Rail"/>
    <s v="Network Rail - Other"/>
    <m/>
    <m/>
    <s v="Midlands improvements programme"/>
    <s v="CP4. A variety of track improvements in the Midlands which will reduce journey times."/>
    <s v="East Midlands"/>
    <s v="Private"/>
    <s v="Yes"/>
    <s v="Public/Private"/>
    <s v="In Construction"/>
    <n v="2011"/>
    <n v="2014"/>
    <n v="69"/>
    <m/>
    <n v="5.76"/>
    <n v="9.1300097751710663"/>
    <m/>
    <m/>
    <m/>
    <m/>
    <s v="Confirmed"/>
    <s v="Constant"/>
    <s v="2012/13"/>
    <s v="http://www.rail-reg.gov.uk/server/show/nav.2177"/>
    <s v="NR enhancement plan "/>
    <s v="16/21 figures are 16/17 spend only, the balance of  CP5 spend is included in the other investments row. Capex are only to 16/17_x000a_Figures are provisional, pending NR CP5 enhancement plan."/>
    <m/>
    <n v="5.76"/>
    <n v="9.1300097751710663"/>
    <n v="0"/>
    <n v="0"/>
    <n v="0"/>
    <n v="0"/>
    <n v="14.890009775171066"/>
    <n v="0"/>
    <n v="9.1300097751710663"/>
  </r>
  <r>
    <x v="4"/>
    <s v="Rail"/>
    <s v="Network Rail - Other"/>
    <m/>
    <m/>
    <s v="Northern Urban Centres - Manchester"/>
    <s v="CP4. Improvements on the Manchester to Liverpool line to enable longer trains to operate."/>
    <s v="North West"/>
    <s v="Private"/>
    <s v="Yes"/>
    <s v="Public/Private"/>
    <s v="In Construction"/>
    <n v="2012"/>
    <n v="2014"/>
    <n v="96"/>
    <m/>
    <n v="12.920999999999999"/>
    <n v="5.6695992179863151"/>
    <m/>
    <m/>
    <m/>
    <m/>
    <s v="Confirmed"/>
    <s v="Constant"/>
    <s v="2012/13"/>
    <s v="http://www.rail-reg.gov.uk/server/show/nav.2177"/>
    <s v="NR enhancement plan "/>
    <s v="16/21 figures are 16/17 spend only, the balance of  CP5 spend is included in the other investments row. Capex are only to 16/17_x000a_Figures are provisional, pending NR CP5 enhancement plan."/>
    <m/>
    <n v="12.920999999999999"/>
    <n v="5.6695992179863151"/>
    <n v="0"/>
    <n v="0"/>
    <n v="0"/>
    <n v="0"/>
    <n v="18.590599217986316"/>
    <n v="0"/>
    <n v="5.6695992179863168"/>
  </r>
  <r>
    <x v="4"/>
    <s v="Rail"/>
    <s v="Network Rail - Other"/>
    <m/>
    <m/>
    <s v="Northern Urban Centres - Yorkshire"/>
    <s v="CP4. Improvements to some stations in Yorkshire to enable longer trains to access them; stabling and servicing for additional vehicles in a number of locations"/>
    <s v="Yorkshire &amp; the Humber"/>
    <s v="Private"/>
    <s v="Yes"/>
    <s v="Public/Private"/>
    <s v="In Construction"/>
    <n v="2012"/>
    <n v="2013"/>
    <n v="90"/>
    <m/>
    <n v="5.9290000000000003"/>
    <n v="6.8426197458455532E-2"/>
    <m/>
    <m/>
    <m/>
    <m/>
    <s v="Confirmed"/>
    <s v="Constant"/>
    <s v="2012/13"/>
    <s v="http://www.rail-reg.gov.uk/server/show/nav.2177"/>
    <s v="NR enhancement plan "/>
    <m/>
    <m/>
    <n v="5.9289999999999994"/>
    <n v="6.8426197458455532E-2"/>
    <n v="0"/>
    <n v="0"/>
    <n v="0"/>
    <n v="0"/>
    <n v="5.9974261974584548"/>
    <n v="0"/>
    <n v="6.8426197458455462E-2"/>
  </r>
  <r>
    <x v="4"/>
    <s v="Rail"/>
    <s v="Network Rail - Other"/>
    <m/>
    <m/>
    <s v="Oxford - Bedford enabling works"/>
    <s v="CP5. A programme of works to enable the Oxford-Bedford element of the East West Rail Link"/>
    <s v="South East"/>
    <s v="Private"/>
    <s v="Yes"/>
    <s v="Public/Private"/>
    <s v="Scoping"/>
    <s v="TBC"/>
    <s v="TBC"/>
    <n v="190.67"/>
    <m/>
    <m/>
    <m/>
    <n v="52.138600000000011"/>
    <n v="86.087400000000017"/>
    <n v="52.447600000000008"/>
    <m/>
    <m/>
    <s v="Constant"/>
    <s v="2012/13"/>
    <s v="http://www.rail-reg.gov.uk/pr13/publications/final-determination.php"/>
    <s v="NR draft plan - and ORR CP5 final determination"/>
    <s v="16/21 figures are 16/17 spend only, the balance of  CP5 spend is included in the other investments row. Capex are only to 16/17_x000a_Figures are provisional, pending NR CP5 enhancement plan. Dates to be confirmed."/>
    <m/>
    <n v="0"/>
    <n v="0"/>
    <n v="52.138600000000018"/>
    <n v="86.087400000000017"/>
    <n v="52.447600000000008"/>
    <n v="0"/>
    <n v="138.22600000000003"/>
    <n v="52.447600000000008"/>
    <n v="190.67360000000002"/>
  </r>
  <r>
    <x v="4"/>
    <s v="Rail"/>
    <s v="Network Rail - Other"/>
    <m/>
    <m/>
    <s v="Passenger Journey Improvement"/>
    <s v="CP5. A programme of works to support journey time and performance improvements"/>
    <s v="UK"/>
    <s v="Private"/>
    <s v="Yes"/>
    <s v="Public/Private"/>
    <s v="Scoping"/>
    <s v="TBC"/>
    <s v="TBC"/>
    <n v="185.38"/>
    <m/>
    <m/>
    <m/>
    <n v="61.793819999999997"/>
    <n v="61.793819999999997"/>
    <n v="61.793819999999997"/>
    <m/>
    <m/>
    <s v="Constant"/>
    <s v="2012/13"/>
    <s v="http://www.rail-reg.gov.uk/pr13/publications/final-determination.php"/>
    <s v="NR draft plan - and ORR CP5 final determination"/>
    <s v="16/21 figures are 16/17 spend only, the balance of  CP5 spend is included in the other investments row. Capex are only to 16/17_x000a_Figures are provisional, pending NR CP5 enhancement plan. Dates to be confirmed."/>
    <m/>
    <n v="0"/>
    <n v="0"/>
    <n v="61.793819999999997"/>
    <n v="61.793819999999997"/>
    <n v="61.793819999999997"/>
    <n v="0"/>
    <n v="123.58763999999999"/>
    <n v="61.793819999999997"/>
    <n v="185.38146"/>
  </r>
  <r>
    <x v="4"/>
    <s v="Rail"/>
    <s v="Network Rail - Other"/>
    <m/>
    <m/>
    <s v="SE power supply upgrade"/>
    <s v="CP4. Improved power supplies in the South East to enable longer trains to operate"/>
    <s v="South East"/>
    <s v="Private"/>
    <s v="Yes"/>
    <s v="Public/Private"/>
    <s v="In Construction"/>
    <n v="2011"/>
    <n v="2016"/>
    <n v="141"/>
    <m/>
    <n v="39.447000000000003"/>
    <n v="52.756598240469209"/>
    <m/>
    <m/>
    <m/>
    <m/>
    <s v="Confirmed"/>
    <s v="Constant"/>
    <s v="2012/13"/>
    <s v="http://www.rail-reg.gov.uk/server/show/nav.2177"/>
    <s v="NR enhancement plan "/>
    <m/>
    <m/>
    <n v="39.447000000000003"/>
    <n v="52.756598240469209"/>
    <n v="0"/>
    <n v="0"/>
    <n v="0"/>
    <n v="0"/>
    <n v="92.203598240469205"/>
    <n v="0"/>
    <n v="52.756598240469202"/>
  </r>
  <r>
    <x v="4"/>
    <s v="Rail"/>
    <s v="Network Rail - Other"/>
    <m/>
    <m/>
    <s v="Southern train lengthening"/>
    <s v="CP 4 Investment in infrastructure to enable longer trains on key routes within South East England"/>
    <s v="South East"/>
    <s v="Private"/>
    <s v="Yes"/>
    <s v="Public/Private"/>
    <s v="In Construction"/>
    <n v="2010"/>
    <n v="2014"/>
    <n v="406"/>
    <m/>
    <n v="79.150999999999996"/>
    <n v="80.811339198435974"/>
    <m/>
    <m/>
    <m/>
    <m/>
    <s v="Confirmed"/>
    <s v="Constant"/>
    <s v="2012/13"/>
    <s v="http://www.rail-reg.gov.uk/server/show/nav.2177"/>
    <s v="NR enhancement plan "/>
    <m/>
    <s v="Yes"/>
    <n v="79.150999999999996"/>
    <n v="80.811339198435974"/>
    <n v="0"/>
    <n v="0"/>
    <n v="0"/>
    <n v="0"/>
    <n v="159.96233919843598"/>
    <n v="0"/>
    <n v="80.811339198435988"/>
  </r>
  <r>
    <x v="4"/>
    <s v="Rail"/>
    <s v="Network Rail - Other"/>
    <m/>
    <m/>
    <s v="Strategic freight network"/>
    <s v="CP4/5 Programme of rail improvements for freight access"/>
    <s v="UK"/>
    <s v="Private"/>
    <s v="Yes"/>
    <s v="Public/Private"/>
    <s v="In Construction"/>
    <s v="Started"/>
    <n v="2019"/>
    <n v="312.57"/>
    <m/>
    <n v="73.55"/>
    <n v="91.544477028347998"/>
    <n v="41.2"/>
    <n v="41.2"/>
    <n v="41.2"/>
    <m/>
    <s v="Confirmed"/>
    <s v="Constant"/>
    <s v="2012/13"/>
    <s v="http://www.rail-reg.gov.uk/pr13/publications/final-determination.php"/>
    <s v="NR enhancement plan - and ORR CP5 final determination"/>
    <s v="16/21 figures are 16/17 spend only, the balance of  CP5 spend is included in the other investments row. Capex are only to 16/17_x000a_Figures are provisional, pending NR CP5 enhancement plan. Dates to be confirmed."/>
    <s v="Yes"/>
    <n v="73.55"/>
    <n v="91.544477028347998"/>
    <n v="41.2"/>
    <n v="41.2"/>
    <n v="41.2"/>
    <n v="0"/>
    <n v="247.494477028348"/>
    <n v="41.2"/>
    <n v="215.14447702834798"/>
  </r>
  <r>
    <x v="4"/>
    <s v="Rail"/>
    <s v="Network Rail - Other"/>
    <m/>
    <m/>
    <s v="WCML improvements programme"/>
    <s v="CP4. A programme of improvements to the West Coast Mainline."/>
    <s v="West Midlands"/>
    <s v="Private"/>
    <s v="Yes"/>
    <s v="Public/Private"/>
    <s v="In Construction"/>
    <n v="2010"/>
    <n v="2014"/>
    <n v="514"/>
    <m/>
    <n v="124.6"/>
    <n v="86.246334310850443"/>
    <m/>
    <m/>
    <m/>
    <m/>
    <s v="Confirmed"/>
    <s v="Constant"/>
    <s v="2012/13"/>
    <s v="http://www.rail-reg.gov.uk/server/show/nav.2177"/>
    <s v="NR enhancement plan "/>
    <s v="Further works will be undertaken as part of CP5. Allocations currenting in the &quot;other enhancements&quot; pot"/>
    <s v="Yes"/>
    <n v="124.6"/>
    <n v="86.246334310850429"/>
    <n v="0"/>
    <n v="0"/>
    <n v="0"/>
    <n v="0"/>
    <n v="210.84633431085041"/>
    <n v="0"/>
    <n v="86.246334310850415"/>
  </r>
  <r>
    <x v="4"/>
    <s v="Rail"/>
    <s v="Network Rail - Other"/>
    <m/>
    <m/>
    <s v="Western improvements programme"/>
    <s v="CP4. Line improvements around Cardiff; in the Cotswolds; between Bristol and Gloucester; and between Cheltenham and Birmingham."/>
    <s v="South West"/>
    <s v="Private"/>
    <s v="Yes"/>
    <s v="Public/Private"/>
    <s v="In Construction"/>
    <s v="Started"/>
    <n v="2014"/>
    <n v="99"/>
    <m/>
    <n v="24.334"/>
    <n v="27.614858260019552"/>
    <m/>
    <m/>
    <m/>
    <m/>
    <s v="Confirmed"/>
    <s v="Constant"/>
    <s v="2012/13"/>
    <s v="http://www.rail-reg.gov.uk/server/show/nav.2177"/>
    <s v="NR enhancement plan "/>
    <m/>
    <m/>
    <n v="24.334"/>
    <n v="27.614858260019549"/>
    <n v="0"/>
    <n v="0"/>
    <n v="0"/>
    <n v="0"/>
    <n v="51.948858260019549"/>
    <n v="0"/>
    <n v="27.614858260019549"/>
  </r>
  <r>
    <x v="4"/>
    <s v="Rail"/>
    <s v="Network Rail - Other"/>
    <m/>
    <m/>
    <s v="Thameslink "/>
    <s v="Programme to radically increase capacity on one of Europe's busiest stretches of railway, the thameslink route"/>
    <s v="London"/>
    <s v="Private"/>
    <s v="Yes"/>
    <s v="Public/Private"/>
    <s v="In Construction"/>
    <n v="2009"/>
    <n v="2018"/>
    <s v="£6,000 m"/>
    <m/>
    <n v="403.64"/>
    <n v="368.73900293255133"/>
    <n v="423.05"/>
    <n v="379.85"/>
    <n v="384.19"/>
    <m/>
    <m/>
    <s v="Constant"/>
    <s v="2012/13"/>
    <s v="http://www.rail-reg.gov.uk/pr13/publications/final-determination.php"/>
    <s v="NR draft plan - and ORR CP5 final determination"/>
    <s v="16/21 figures are 16/17 spend only, the balance of  CP5 spend is included in the other investments row. Capex are only to 16/17_x000a_Figures are provisional, pending NR CP5 enhancement plan. Dates to be confirmed."/>
    <s v="Yes"/>
    <n v="403.64"/>
    <n v="368.73900293255133"/>
    <n v="423.05"/>
    <n v="379.85"/>
    <n v="384.19"/>
    <n v="0"/>
    <n v="1575.2790029325515"/>
    <n v="384.19"/>
    <n v="1555.8290029325517"/>
  </r>
  <r>
    <x v="4"/>
    <s v="Rail"/>
    <s v="Network Rail - Other"/>
    <m/>
    <m/>
    <s v="Intercity Express Programme"/>
    <s v="The Intercity Express Programme is a package of gauge, track and platform enhancements on the East Coast and Great Western Main lines to enable deployment of superfast trains in CP5"/>
    <s v="UK"/>
    <s v="Private"/>
    <s v="Yes"/>
    <s v="Public/Private"/>
    <s v="In Construction"/>
    <s v="Started"/>
    <n v="2019"/>
    <n v="396.95"/>
    <m/>
    <n v="22.22"/>
    <n v="23.264907135874878"/>
    <n v="110.34"/>
    <n v="152.51"/>
    <n v="72"/>
    <m/>
    <m/>
    <s v="Constant"/>
    <s v="2012/13"/>
    <s v="http://www.rail-reg.gov.uk/pr13/publications/final-determination.php"/>
    <s v="NR draft plan - and ORR CP5 final determination"/>
    <s v="16/21 figures are 16/17 spend only, the balance of  CP5 spend is included in the other investments row. End date based on DfT statement - The latest order for the trains, will be operational on the East Coast Main Line from 2019_x000a_Figures are provisional, pending NR CP5 enhancement plan. Dates to be confirmed."/>
    <s v="Yes"/>
    <n v="22.22"/>
    <n v="23.264907135874878"/>
    <n v="110.34"/>
    <n v="152.51"/>
    <n v="72"/>
    <n v="0"/>
    <n v="308.33490713587486"/>
    <n v="72"/>
    <n v="358.11490713587489"/>
  </r>
  <r>
    <x v="4"/>
    <s v="Rail"/>
    <s v="Network Rail - Stations"/>
    <m/>
    <m/>
    <s v="Birmingham New Street "/>
    <s v="CP4. Major renovation of Birmingham New Street station including more than doubling station concourse capacity, commercial development, better passenger facilities, as well as much improved access between platforms and the concourse. "/>
    <s v="West Midlands"/>
    <s v="Private"/>
    <s v="Yes"/>
    <s v="Public/Private"/>
    <s v="In Construction"/>
    <n v="2009"/>
    <n v="2015"/>
    <n v="641.5"/>
    <n v="429.22"/>
    <n v="33.08"/>
    <n v="123.34310850439883"/>
    <n v="7.4484398100000009"/>
    <m/>
    <m/>
    <m/>
    <s v="Confirmed"/>
    <s v="Constant"/>
    <s v="2012/13"/>
    <s v="http://www.rail-reg.gov.uk/server/show/nav.2177"/>
    <s v="NR enhancement plan "/>
    <m/>
    <s v="Yes"/>
    <n v="33.08"/>
    <n v="123.34310850439883"/>
    <n v="7.4484398100000009"/>
    <n v="0"/>
    <n v="0"/>
    <n v="0"/>
    <n v="163.87154831439884"/>
    <n v="0"/>
    <n v="130.79154831439882"/>
  </r>
  <r>
    <x v="4"/>
    <s v="Rail"/>
    <s v="Network Rail - Stations"/>
    <s v="National Stations Improvement Programme"/>
    <m/>
    <m/>
    <s v="CP4/5 Improving the environment at stations"/>
    <s v="UK"/>
    <s v="Private"/>
    <s v="Yes"/>
    <s v="Public/Private"/>
    <s v="Active Programme"/>
    <n v="2009"/>
    <n v="2019"/>
    <n v="370"/>
    <m/>
    <n v="41.093000000000004"/>
    <n v="32.932551319648091"/>
    <n v="41.2"/>
    <n v="41.2"/>
    <n v="41.2"/>
    <m/>
    <s v="Confirmed"/>
    <s v="Constant"/>
    <s v="2012/13"/>
    <s v="http://www.networkrail.co.uk/nsip/"/>
    <s v="NR enhancement plan "/>
    <s v="16/21 figures are 16/17 spend only, the balance of  CP5 spend is included in the other investments row. Capex are only to 16/17_x000a_Figures are provisional, pending NR CP5 enhancement plan. Dates to be confirmed."/>
    <m/>
    <n v="41.093000000000004"/>
    <n v="32.932551319648091"/>
    <n v="41.2"/>
    <n v="41.2"/>
    <n v="41.2"/>
    <n v="0"/>
    <n v="156.42555131964809"/>
    <n v="41.2"/>
    <n v="156.53255131964806"/>
  </r>
  <r>
    <x v="4"/>
    <s v="Rail"/>
    <s v="Network Rail - Stations"/>
    <m/>
    <m/>
    <s v="Bristol Temple Meads"/>
    <m/>
    <s v="South West"/>
    <s v="Private"/>
    <s v="Yes"/>
    <s v="Public/Private"/>
    <s v="Scoping"/>
    <s v="TBC"/>
    <s v="TBC"/>
    <m/>
    <m/>
    <m/>
    <m/>
    <m/>
    <m/>
    <m/>
    <m/>
    <m/>
    <m/>
    <m/>
    <s v="http://www.networkrail.co.uk/nsip/"/>
    <m/>
    <m/>
    <s v="Yes"/>
    <n v="0"/>
    <n v="0"/>
    <n v="0"/>
    <n v="0"/>
    <n v="0"/>
    <n v="0"/>
    <n v="0"/>
    <n v="0"/>
    <n v="0"/>
  </r>
  <r>
    <x v="4"/>
    <s v="Rail"/>
    <s v="Network Rail - Stations"/>
    <m/>
    <m/>
    <s v="Manchester Victoria"/>
    <m/>
    <s v="North West"/>
    <s v="Private"/>
    <s v="Yes"/>
    <s v="Public/Private"/>
    <s v="In Construction"/>
    <s v="Started"/>
    <n v="2015"/>
    <m/>
    <m/>
    <m/>
    <m/>
    <m/>
    <m/>
    <m/>
    <m/>
    <m/>
    <m/>
    <m/>
    <s v="http://www.networkrail.co.uk/nsip/"/>
    <m/>
    <s v="Figures in National Stations Improvement Programme"/>
    <s v="Yes"/>
    <n v="0"/>
    <n v="0"/>
    <n v="0"/>
    <n v="0"/>
    <n v="0"/>
    <n v="0"/>
    <n v="0"/>
    <n v="0"/>
    <n v="0"/>
  </r>
  <r>
    <x v="4"/>
    <s v="Rail"/>
    <s v="Network Rail - Stations"/>
    <m/>
    <m/>
    <s v="Peterborough  "/>
    <m/>
    <s v="East of England"/>
    <s v="Private"/>
    <s v="Yes"/>
    <s v="Public/Private"/>
    <s v="In Construction"/>
    <s v="Started"/>
    <n v="2014"/>
    <m/>
    <m/>
    <m/>
    <m/>
    <m/>
    <m/>
    <m/>
    <m/>
    <m/>
    <m/>
    <m/>
    <s v="http://www.networkrail.co.uk/nsip/"/>
    <m/>
    <s v="Figures in National Stations Improvement Programme"/>
    <s v="Yes"/>
    <n v="0"/>
    <n v="0"/>
    <n v="0"/>
    <n v="0"/>
    <n v="0"/>
    <n v="0"/>
    <n v="0"/>
    <n v="0"/>
    <n v="0"/>
  </r>
  <r>
    <x v="4"/>
    <s v="Rail"/>
    <s v="Network Rail - Stations"/>
    <m/>
    <m/>
    <s v="Reading"/>
    <s v="CP4/5 Upgrade to Reading station"/>
    <s v="South East"/>
    <s v="Private"/>
    <s v="Yes"/>
    <s v="Public/Private"/>
    <s v="In Construction"/>
    <n v="2010"/>
    <n v="2015"/>
    <n v="679.5"/>
    <m/>
    <n v="222.691"/>
    <n v="165.60117302052785"/>
    <n v="32.729999999999997"/>
    <m/>
    <m/>
    <m/>
    <s v="Confirmed"/>
    <s v="Constant"/>
    <s v="2012/13"/>
    <s v="http://www.networkrail.co.uk/nsip/"/>
    <s v="NR enhancement plan "/>
    <m/>
    <s v="Yes"/>
    <n v="222.69099999999997"/>
    <n v="165.60117302052785"/>
    <n v="32.729999999999997"/>
    <n v="0"/>
    <n v="0"/>
    <n v="0"/>
    <n v="421.02217302052782"/>
    <n v="0"/>
    <n v="198.33117302052784"/>
  </r>
  <r>
    <x v="4"/>
    <s v="Roads - HA Majors"/>
    <s v="November 2011 Autumn Statement (Growth Scheme)"/>
    <m/>
    <m/>
    <s v="A14 Kettering Bypass"/>
    <s v="Trunk road improvement project"/>
    <s v="East Midlands"/>
    <s v="Public"/>
    <s v="No"/>
    <s v="Public"/>
    <s v="In Construction"/>
    <n v="2013"/>
    <s v="2015/16"/>
    <n v="41.987376398455218"/>
    <m/>
    <n v="1.07"/>
    <n v="19.342665682656829"/>
    <n v="21.554710715798389"/>
    <m/>
    <m/>
    <m/>
    <s v="Estimated"/>
    <s v="Nominal"/>
    <m/>
    <s v="http://www.highways.gov.uk/roads"/>
    <s v="Highways Agency Major Projects Portfolio Office"/>
    <s v="Actuals are included for all schemes for 2011/12 and 2012/13, for the remaining years and for schemes under construction the profile represents the forecast outturn as @ end of November 2013.  Total capex represents the sum of the period 2011/2012 to 2020/2021 and does not therefore necessarily represent the total outturn cost of the scheme."/>
    <m/>
    <n v="1.07"/>
    <n v="18.907786591062393"/>
    <n v="20.677231061252037"/>
    <n v="0"/>
    <n v="0"/>
    <n v="0"/>
    <n v="40.655017652314427"/>
    <n v="0"/>
    <n v="39.585017652314427"/>
  </r>
  <r>
    <x v="4"/>
    <s v="Roads - HA Majors"/>
    <s v="November 2011 Autumn Statement (Growth Scheme)"/>
    <m/>
    <m/>
    <s v="A45 / A46 Tollbar End"/>
    <s v="Trunk road improvement project"/>
    <s v="West Midlands"/>
    <s v="Public"/>
    <s v="No"/>
    <s v="Public"/>
    <s v="In Construction"/>
    <s v="2013/2014"/>
    <s v="2017/18"/>
    <n v="129.41325959132107"/>
    <m/>
    <n v="2.48"/>
    <n v="34.266875276752771"/>
    <n v="22.754183820415079"/>
    <n v="40.182922434367548"/>
    <n v="29.359278059785673"/>
    <m/>
    <s v="Estimated"/>
    <s v="Nominal"/>
    <m/>
    <s v="http://www.highways.gov.uk/roads"/>
    <s v="Highways Agency Major Projects Portfolio Office"/>
    <s v="Actuals are included for all schemes for 2011/12 and 2012/13, for the remaining years and for schemes under construction the profile represents the forecast outturn as @ end of November 2013.  Total capex represents the sum of the period 2011/2012 to 2020/2021 and does not therefore necessarily represent the total outturn cost of the scheme."/>
    <m/>
    <n v="2.48"/>
    <n v="33.496456771019325"/>
    <n v="21.827874317982843"/>
    <n v="37.865519829275698"/>
    <n v="27.203627756107196"/>
    <n v="0"/>
    <n v="95.669850918277859"/>
    <n v="27.203627756107196"/>
    <n v="120.39347867438505"/>
  </r>
  <r>
    <x v="4"/>
    <s v="Roads - HA Majors"/>
    <s v="November 2011 Autumn Statement (Growth Scheme)"/>
    <m/>
    <m/>
    <s v="A453 Widening"/>
    <s v="Trunk road improvement project"/>
    <s v="East Midlands"/>
    <s v="Public"/>
    <s v="No"/>
    <s v="Public"/>
    <s v="In Construction"/>
    <s v="2012/13 (Q4)"/>
    <s v="2015/16"/>
    <n v="130.12"/>
    <m/>
    <n v="21.17"/>
    <n v="60.13"/>
    <n v="43.12"/>
    <n v="4.79"/>
    <m/>
    <m/>
    <s v="Estimated"/>
    <s v="Nominal"/>
    <m/>
    <s v="http://www.highways.gov.uk/roads"/>
    <s v="Highways Agency Major Projects Portfolio Office"/>
    <s v="Actuals are included for all schemes for 2011/12 and 2012/13, for the remaining years and for schemes under construction the profile represents the forecast outturn as @ end of November 2013.  Total capex represents the sum of the period 2011/2012 to 2020/2021 and does not therefore necessarily represent the total outturn cost of the scheme."/>
    <s v="Yes"/>
    <n v="21.17"/>
    <n v="58.778103616813297"/>
    <n v="41.364610043580576"/>
    <n v="4.5137543263180859"/>
    <n v="0"/>
    <n v="0"/>
    <n v="125.82646798671198"/>
    <n v="0"/>
    <n v="104.65646798671197"/>
  </r>
  <r>
    <x v="4"/>
    <s v="Roads - HA Majors"/>
    <s v="November 2011 Autumn Statement (Growth Scheme)"/>
    <m/>
    <m/>
    <s v="M1 / M6 Junction 19 Improvement"/>
    <s v="Junction improvement project"/>
    <s v="West Midlands"/>
    <s v="Public"/>
    <s v="No"/>
    <s v="Public"/>
    <s v="In Construction"/>
    <s v="2013/2014"/>
    <s v="2016/17"/>
    <n v="230.84594082691436"/>
    <m/>
    <n v="4.42"/>
    <n v="41.053496678966788"/>
    <n v="52.624644642100805"/>
    <n v="94.027077565632467"/>
    <n v="38.64072194021432"/>
    <m/>
    <s v="Estimated"/>
    <s v="Nominal"/>
    <m/>
    <s v="http://www.highways.gov.uk/roads)"/>
    <s v="Highways Agency Major Projects Portfolio Office"/>
    <s v="Actuals are included for all schemes for 2011/12 and 2012/13, for the remaining years and for schemes under construction the profile represents the forecast outturn as @ end of November 2013.  Total capex represents the sum of the period 2011/2012 to 2020/2021 and does not therefore necessarily represent the total outturn cost of the scheme."/>
    <s v="Yes"/>
    <n v="4.42"/>
    <n v="40.130495287357562"/>
    <n v="50.482326166570076"/>
    <n v="88.604410887874693"/>
    <n v="35.803598908266487"/>
    <n v="0"/>
    <n v="183.63723234180233"/>
    <n v="35.803598908266487"/>
    <n v="215.02083125006882"/>
  </r>
  <r>
    <x v="4"/>
    <s v="Roads - HA Majors"/>
    <s v="November 2011 Autumn Statement (Growth Scheme) &amp; November 2012 Autumn Statement (Pilot Acceleration)"/>
    <m/>
    <m/>
    <s v="M3 Junctions 2 to 4a"/>
    <s v="Managed motorway project"/>
    <s v="South East"/>
    <s v="Public"/>
    <s v="No"/>
    <s v="Public"/>
    <s v="Planning &amp; Consents"/>
    <s v="2013/14 (Q4)"/>
    <s v="2015/16"/>
    <n v="130.01342318330933"/>
    <m/>
    <n v="2.1800000000000002"/>
    <n v="13.016962361623616"/>
    <n v="114.40646082168573"/>
    <m/>
    <m/>
    <m/>
    <s v="Estimated"/>
    <s v="Nominal"/>
    <m/>
    <s v="http://www.highways.gov.uk/roads"/>
    <s v="Highways Agency Major Projects Portfolio Office"/>
    <s v="Actuals are included for all schemes for 2011/12 and 2012/13, for future years the profile represents the forecast outturn as @ end of November 2013.  Total capex represents the sum of the period 2011/2012 to 2020/2021."/>
    <s v="Yes"/>
    <n v="2.1800000000000002"/>
    <n v="12.724303383796302"/>
    <n v="109.74904077818202"/>
    <n v="0"/>
    <n v="0"/>
    <n v="0"/>
    <n v="124.65334416197832"/>
    <n v="0"/>
    <n v="122.47334416197832"/>
  </r>
  <r>
    <x v="4"/>
    <s v="Roads - HA Majors"/>
    <s v="November 2011 Autumn Statement (Growth Scheme) &amp; November 2012 Autumn Statement (Pilot Acceleration)"/>
    <m/>
    <m/>
    <s v="M6 Junctions 10a to 13"/>
    <s v="Managed motorway project"/>
    <s v="West Midlands"/>
    <s v="Public"/>
    <s v="No"/>
    <s v="Public"/>
    <s v="In Construction"/>
    <d v="2013-09-01T00:00:00"/>
    <s v="2015/16"/>
    <n v="98.31"/>
    <m/>
    <n v="1.9"/>
    <n v="21.79"/>
    <n v="66.540000000000006"/>
    <n v="8"/>
    <m/>
    <m/>
    <s v="Estimated"/>
    <s v="Nominal"/>
    <m/>
    <s v="http://www.highways.gov.uk/roads"/>
    <s v="Highways Agency Major Projects Portfolio Office"/>
    <s v="Actuals are included for all schemes for 2011/12 and 2012/13, for the remaining years and for schemes under construction the profile represents the forecast outturn as @ end of November 2013.  Total capex represents the sum of the period 2011/2012 to 2020/2021 and does not therefore necessarily represent the total outturn cost of the scheme."/>
    <s v="Yes"/>
    <n v="1.9"/>
    <n v="21.300097751710656"/>
    <n v="63.831195554263729"/>
    <n v="7.5386293550197685"/>
    <n v="0"/>
    <n v="0"/>
    <n v="94.569922660994152"/>
    <n v="0"/>
    <n v="92.669922660994146"/>
  </r>
  <r>
    <x v="4"/>
    <s v="Roads - HA Majors"/>
    <s v="November 2012 Autumn Statement (Funded for Delivery)"/>
    <m/>
    <m/>
    <s v="A1 Leeming to Barton"/>
    <s v="Widening"/>
    <s v="North East"/>
    <s v="Public"/>
    <s v="No"/>
    <s v="Public"/>
    <s v="Planning &amp; Consents"/>
    <s v="2013/2014 (Q4)"/>
    <s v="2016/17"/>
    <n v="369.82082367579829"/>
    <m/>
    <n v="3.08"/>
    <n v="155.11463297617144"/>
    <n v="76.461855508540992"/>
    <n v="77.995595113438029"/>
    <n v="57.048740077647814"/>
    <m/>
    <s v="Estimated"/>
    <s v="Nominal"/>
    <m/>
    <s v="http://www.highways.gov.uk/roads"/>
    <s v="Highways Agency Major Projects Portfolio Office"/>
    <s v="Actuals are included for all schemes for 2011/12 and 2012/13, for future years the profile represents the forecast outturn as @ end of November 2013.  Total capex represents the sum of the period 2011/2012 to 2020/2021."/>
    <s v="Yes"/>
    <n v="3.08"/>
    <n v="151.62720721033375"/>
    <n v="73.349138133566825"/>
    <n v="73.497485360550044"/>
    <n v="52.860042602783757"/>
    <n v="0"/>
    <n v="301.55383070445066"/>
    <n v="52.860042602783757"/>
    <n v="351.33387330723446"/>
  </r>
  <r>
    <x v="4"/>
    <s v="Roads - HA Majors"/>
    <s v="November 2012 Autumn Statement (Funded for Delivery)"/>
    <m/>
    <m/>
    <s v="A1 Lobley Hill"/>
    <s v="Widening"/>
    <s v="North East"/>
    <s v="Public"/>
    <s v="No"/>
    <s v="Public"/>
    <s v="Planning &amp; Consents"/>
    <s v="2014/2015"/>
    <s v="2016/17"/>
    <n v="42.965475212565714"/>
    <m/>
    <n v="0.06"/>
    <n v="14.417559571405727"/>
    <n v="6.6432168416653612"/>
    <n v="21.589994182664338"/>
    <n v="0.25470461683028761"/>
    <m/>
    <s v="Estimated"/>
    <s v="Nominal"/>
    <m/>
    <s v="http://www.highways.gov.uk/roads"/>
    <s v="Highways Agency Major Projects Portfolio Office"/>
    <s v="Actuals are included for all schemes for 2011/12 and 2012/13, for future years the profile represents the forecast outturn as @ end of November 2013.  Total capex represents the sum of the period 2011/2012 to 2020/2021."/>
    <m/>
    <n v="0.06"/>
    <n v="14.093411115743624"/>
    <n v="6.3727753731547914"/>
    <n v="20.344870490017424"/>
    <n v="0.2360034047807115"/>
    <n v="0"/>
    <n v="40.871056978915846"/>
    <n v="0.2360034047807115"/>
    <n v="41.047060383696554"/>
  </r>
  <r>
    <x v="4"/>
    <s v="Roads - HA Majors"/>
    <s v="November 2012 Autumn Statement (Funded for Delivery)"/>
    <m/>
    <m/>
    <s v="A30 Temple Carblake"/>
    <s v="Dualling"/>
    <s v="South West"/>
    <s v="Public"/>
    <s v="No"/>
    <s v="Public"/>
    <s v="Planning &amp; Consents"/>
    <s v="2014/2015"/>
    <s v="2016/17"/>
    <n v="30"/>
    <m/>
    <m/>
    <m/>
    <n v="8.3000000000000007"/>
    <n v="21.7"/>
    <m/>
    <m/>
    <s v="Estimated"/>
    <s v="Nominal"/>
    <m/>
    <s v="http://www.highways.gov.uk/roads"/>
    <s v="Highways Agency Major Projects Portfolio Office"/>
    <s v="Actuals are included for all schemes for 2011/12 and 2012/13, for future years the profile represents the forecast outturn as @ end of November 2013.  Total capex represents the sum of the period 2011/2012 to 2020/2021."/>
    <m/>
    <n v="0"/>
    <n v="0"/>
    <n v="7.9621118590380062"/>
    <n v="20.44853212549112"/>
    <n v="0"/>
    <n v="0"/>
    <n v="28.410643984529127"/>
    <n v="0"/>
    <n v="28.410643984529127"/>
  </r>
  <r>
    <x v="4"/>
    <s v="Roads - HA Majors"/>
    <s v="November 2012 Autumn Statement (Funded for Delivery)"/>
    <m/>
    <m/>
    <s v="A5-M1 Link Road"/>
    <s v="Bypass Project"/>
    <s v="East of England"/>
    <s v="Public"/>
    <s v="No"/>
    <s v="Public/Private"/>
    <s v="Planning &amp; Consents"/>
    <s v="2014/2015"/>
    <s v="2015/16"/>
    <n v="126.82746933692786"/>
    <m/>
    <n v="1.47"/>
    <n v="23.93772589157205"/>
    <n v="20.844543697435096"/>
    <n v="57.631355439208832"/>
    <n v="21.86384430871189"/>
    <m/>
    <s v="Estimated"/>
    <s v="Nominal"/>
    <m/>
    <s v="http://www.highways.gov.uk/roads"/>
    <s v="Highways Agency Major Projects Portfolio Office"/>
    <s v="Actuals are included for all schemes for 2011/12 and 2012/13, for future years the profile represents the forecast outturn as @ end of November 2013.  Total capex represents the sum of the period 2011/2012 to 2020/2021."/>
    <s v="Yes"/>
    <n v="1.47"/>
    <n v="23.39953655090132"/>
    <n v="19.995974526455889"/>
    <n v="54.307678485449735"/>
    <n v="20.258532266376275"/>
    <n v="0"/>
    <n v="99.173189562806954"/>
    <n v="20.258532266376275"/>
    <n v="117.96172182918323"/>
  </r>
  <r>
    <x v="4"/>
    <s v="Roads - HA Majors"/>
    <s v="November 2012 Autumn Statement (Funded for Delivery)"/>
    <m/>
    <m/>
    <s v="M25 Junction 30"/>
    <s v="Trunk road improvement project"/>
    <s v="South East"/>
    <s v="Public"/>
    <s v="No"/>
    <s v="Public"/>
    <s v="Planning &amp; Consents"/>
    <s v="2014/15"/>
    <s v="2017/18"/>
    <n v="63.853485697487329"/>
    <m/>
    <n v="0.21"/>
    <n v="11.030577322885017"/>
    <n v="15.389322467742778"/>
    <n v="32.078552646887722"/>
    <n v="5.14503325997181"/>
    <m/>
    <s v="Estimated"/>
    <s v="Nominal"/>
    <m/>
    <s v="http://www.highways.gov.uk/roads"/>
    <s v="Highways Agency Major Projects Portfolio Office"/>
    <s v="Actuals are included for all schemes for 2011/12 and 2012/13, for future years the profile represents the forecast outturn as @ end of November 2013.  Total capex represents the sum of the period 2011/2012 to 2020/2021."/>
    <m/>
    <n v="0.21"/>
    <n v="10.782578028235598"/>
    <n v="14.762832159394552"/>
    <n v="30.22853983129686"/>
    <n v="4.7672687765703721"/>
    <n v="0"/>
    <n v="55.983950018927011"/>
    <n v="4.7672687765703721"/>
    <n v="60.541218795497379"/>
  </r>
  <r>
    <x v="4"/>
    <s v="Roads - HA Majors"/>
    <s v="November 2012 Autumn Statement (Pilot Acceleration Scheme)"/>
    <m/>
    <m/>
    <s v="A160 / A180 Immingham"/>
    <s v="Trunk road improvement project (including junction improvement)"/>
    <s v="Yorkshire &amp; the Humber"/>
    <s v="Public"/>
    <s v="No"/>
    <s v="Public"/>
    <s v="Planning &amp; Consents"/>
    <s v="2015/2016"/>
    <s v="2016/17"/>
    <n v="72.511529906289582"/>
    <m/>
    <n v="0.41"/>
    <n v="11.488277626739164"/>
    <n v="2.7651622002820875"/>
    <n v="43.855546247818495"/>
    <n v="13.672543831449838"/>
    <m/>
    <s v="Estimated"/>
    <s v="Nominal"/>
    <m/>
    <s v="http://www.highways.gov.uk/roads"/>
    <s v="Highways Agency Major Projects Portfolio Office"/>
    <s v="Actuals are included for all schemes for 2011/12 and 2012/13, for future years the profile represents the forecast outturn as @ end of November 2013.  Total capex represents the sum of the period 2011/2012 to 2020/2021."/>
    <s v="Yes"/>
    <n v="0.41"/>
    <n v="11.229987904925869"/>
    <n v="2.6525940659071847"/>
    <n v="41.326338540528944"/>
    <n v="12.668662768628591"/>
    <n v="0"/>
    <n v="55.618920511361999"/>
    <n v="12.668662768628591"/>
    <n v="67.877583279990588"/>
  </r>
  <r>
    <x v="4"/>
    <s v="Roads - HA Majors"/>
    <s v="Other"/>
    <m/>
    <m/>
    <s v="Lower Thames Crossing"/>
    <m/>
    <s v="South East"/>
    <s v="Public"/>
    <s v="No"/>
    <s v="Public/Private"/>
    <s v="Scoping"/>
    <s v="TBC"/>
    <s v="TBC"/>
    <m/>
    <m/>
    <m/>
    <m/>
    <m/>
    <m/>
    <m/>
    <m/>
    <m/>
    <m/>
    <m/>
    <s v="https://www.gov.uk/government/collections/lower-thames-crossing"/>
    <m/>
    <s v="Three options under consideration"/>
    <s v="Yes"/>
    <n v="0"/>
    <n v="0"/>
    <n v="0"/>
    <n v="0"/>
    <n v="0"/>
    <n v="0"/>
    <n v="0"/>
    <n v="0"/>
    <n v="0"/>
  </r>
  <r>
    <x v="4"/>
    <s v="Roads - HA Majors"/>
    <s v="SR10 committed starts"/>
    <m/>
    <m/>
    <s v="A11 Fiveways to Thetford"/>
    <s v="Trunk road improvement project"/>
    <s v="East of England"/>
    <s v="Public"/>
    <s v="No"/>
    <s v="Public"/>
    <s v="In Construction"/>
    <d v="2013-01-01T00:00:00"/>
    <s v="2014/15"/>
    <n v="88.399999999999991"/>
    <m/>
    <n v="11.3"/>
    <n v="45.9"/>
    <n v="21.7"/>
    <n v="2.8"/>
    <m/>
    <m/>
    <s v="Estimated"/>
    <s v="Nominal"/>
    <m/>
    <s v="http://www.highways.gov.uk/roads"/>
    <s v="Highways Agency Major Projects Portfolio Office"/>
    <s v="Actuals are included for all schemes for 2011/12 and 2012/13, for the remaining years and for schemes under construction the profile represents the forecast outturn as @ end of November 2013.  Total capex represents the sum of the period 2011/2012 to 2020/2021 and does not therefore necessarily represent the total outturn cost of the scheme."/>
    <m/>
    <n v="11.3"/>
    <n v="44.868035190615835"/>
    <n v="20.816605703749964"/>
    <n v="2.6385202742569187"/>
    <n v="0"/>
    <n v="0"/>
    <n v="79.62316116862273"/>
    <n v="0"/>
    <n v="68.323161168622732"/>
  </r>
  <r>
    <x v="4"/>
    <s v="Roads - HA Majors"/>
    <s v="SR10 committed starts"/>
    <m/>
    <m/>
    <s v="A23 Handcross to Warninglid"/>
    <s v="Trunk road improvement project"/>
    <s v="South East"/>
    <s v="Public"/>
    <s v="No"/>
    <s v="Public"/>
    <s v="In Construction"/>
    <d v="2011-10-01T00:00:00"/>
    <s v="2014/15"/>
    <n v="61.7"/>
    <m/>
    <n v="17.5"/>
    <n v="24"/>
    <n v="13.8"/>
    <m/>
    <m/>
    <m/>
    <s v="Estimated"/>
    <s v="Nominal"/>
    <m/>
    <s v="http://www.highways.gov.uk/roads"/>
    <s v="Highways Agency Major Projects Portfolio Office"/>
    <s v="Actuals are included for all schemes for 2011/12 and 2012/13, for the remaining years and for schemes under construction the profile represents the forecast outturn as @ end of November 2013.  Total capex represents the sum of the period 2011/2012 to 2020/2021 and does not therefore necessarily represent the total outturn cost of the scheme."/>
    <m/>
    <n v="17.5"/>
    <n v="23.460410557184751"/>
    <n v="13.238210078882465"/>
    <n v="0"/>
    <n v="0"/>
    <n v="0"/>
    <n v="54.198620636067218"/>
    <n v="0"/>
    <n v="36.698620636067218"/>
  </r>
  <r>
    <x v="4"/>
    <s v="Roads - HA Majors"/>
    <s v="SR10 committed starts"/>
    <m/>
    <m/>
    <s v="A556 Knutsford to Bowdon"/>
    <s v="Trunk road improvement project"/>
    <s v="North West"/>
    <s v="Public"/>
    <s v="No"/>
    <s v="Public"/>
    <s v="Planning &amp; Consents"/>
    <s v="2014/2015"/>
    <s v="2016/17"/>
    <n v="164.97648997175929"/>
    <m/>
    <n v="2.25"/>
    <n v="6.6836295976672258"/>
    <n v="65.513926799979117"/>
    <n v="57.368933574112944"/>
    <n v="31"/>
    <m/>
    <s v="Estimated"/>
    <s v="Nominal"/>
    <m/>
    <s v="http://www.highways.gov.uk/roads"/>
    <s v="Highways Agency Major Projects Portfolio Office"/>
    <s v="Actuals are included for all schemes for 2011/12 and 2012/13, for future years the profile represents the forecast outturn as @ end of November 2013.  Total capex represents the sum of the period 2011/2012 to 2020/2021."/>
    <s v="Yes"/>
    <n v="2.25"/>
    <n v="6.5333622655593606"/>
    <n v="62.846893193525482"/>
    <n v="54.060390838498371"/>
    <n v="28.723882744052709"/>
    <n v="0"/>
    <n v="125.69064629758321"/>
    <n v="28.723882744052709"/>
    <n v="152.16452904163592"/>
  </r>
  <r>
    <x v="4"/>
    <s v="Roads - HA Majors"/>
    <s v="SR10 committed starts"/>
    <m/>
    <m/>
    <s v="M1 Junctions 28 to 31"/>
    <s v="Managed motorway project"/>
    <s v="East Midlands"/>
    <s v="Public"/>
    <s v="No"/>
    <s v="Public"/>
    <s v="Planning &amp; Consents"/>
    <s v="2013/14 (Q4)"/>
    <s v="2015/16"/>
    <n v="228.44554469093165"/>
    <m/>
    <n v="6.41"/>
    <n v="51.331357679249905"/>
    <n v="154.53178718738579"/>
    <n v="14.692399824295965"/>
    <m/>
    <m/>
    <s v="Estimated"/>
    <s v="Nominal"/>
    <m/>
    <s v="http://www.highways.gov.uk/roads"/>
    <s v="Highways Agency Major Projects Portfolio Office"/>
    <s v="Actuals are included for all schemes for 2011/12 and 2012/13, for future years the profile represents the forecast outturn as @ end of November 2013.  Total capex represents the sum of the period 2011/2012 to 2020/2021."/>
    <s v="Yes"/>
    <n v="6.41"/>
    <n v="50.177280233870874"/>
    <n v="148.24088859795441"/>
    <n v="13.845069576390605"/>
    <n v="0"/>
    <n v="0"/>
    <n v="218.67323840821589"/>
    <n v="0"/>
    <n v="212.2632384082159"/>
  </r>
  <r>
    <x v="4"/>
    <s v="Roads - HA Majors"/>
    <s v="SR10 committed starts"/>
    <m/>
    <m/>
    <s v="M1 Junctions 32 to 35a"/>
    <s v="Managed motorway project"/>
    <s v="Yorkshire &amp; the Humber"/>
    <s v="Public"/>
    <s v="No"/>
    <s v="Public"/>
    <s v="Planning &amp; Consents"/>
    <s v="2013/14"/>
    <s v="2015/16"/>
    <n v="110.69307889170685"/>
    <m/>
    <n v="5.0999999999999996"/>
    <n v="10.011914781930663"/>
    <n v="72.61616874641048"/>
    <n v="22.344995363365708"/>
    <m/>
    <m/>
    <s v="Estimated"/>
    <s v="Nominal"/>
    <m/>
    <s v="http://www.highways.gov.uk/roads"/>
    <s v="Highways Agency Major Projects Portfolio Office"/>
    <s v="Actuals are included for all schemes for 2011/12 and 2012/13, for future years the profile represents the forecast outturn as @ end of November 2013.  Total capex represents the sum of the period 2011/2012 to 2020/2021."/>
    <m/>
    <n v="5.0999999999999996"/>
    <n v="9.7868179686516754"/>
    <n v="69.660007028156599"/>
    <n v="21.056329748006167"/>
    <n v="0"/>
    <n v="0"/>
    <n v="105.60315474481443"/>
    <n v="0"/>
    <n v="100.50315474481444"/>
  </r>
  <r>
    <x v="4"/>
    <s v="Roads - HA Majors"/>
    <s v="SR10 committed starts"/>
    <m/>
    <m/>
    <s v="M1 Junctions 39 to 42"/>
    <s v="Managed motorway project"/>
    <s v="Yorkshire &amp; the Humber"/>
    <s v="Public"/>
    <s v="No"/>
    <s v="Public"/>
    <s v="In Construction"/>
    <s v="2013/14"/>
    <s v="2015/16"/>
    <n v="145.13419639668464"/>
    <m/>
    <n v="2.4900000000000002"/>
    <n v="31.36164657366929"/>
    <n v="87.563370751318331"/>
    <n v="22.819179071697011"/>
    <m/>
    <m/>
    <s v="Estimated"/>
    <s v="Nominal"/>
    <m/>
    <s v="http://www.highways.gov.uk/roads"/>
    <s v="Highways Agency Major Projects Portfolio Office"/>
    <s v="Actuals are included for all schemes for 2011/12 and 2012/13, for the remaining years and for schemes under construction the profile represents the forecast outturn as @ end of November 2013.  Total capex represents the sum of the period 2011/2012 to 2020/2021 and does not therefore necessarily represent the total outturn cost of the scheme."/>
    <s v="Yes"/>
    <n v="2.4900000000000002"/>
    <n v="30.656546015317002"/>
    <n v="83.998717189929309"/>
    <n v="21.50316665091848"/>
    <n v="0"/>
    <n v="0"/>
    <n v="138.6484298561648"/>
    <n v="0"/>
    <n v="136.15842985616479"/>
  </r>
  <r>
    <x v="4"/>
    <s v="Roads - HA Majors"/>
    <s v="SR10 committed starts"/>
    <m/>
    <m/>
    <s v="M25 Junctions 23 to 27"/>
    <s v="Managed motorway project"/>
    <s v="South East"/>
    <s v="Public"/>
    <s v="No"/>
    <s v="Public"/>
    <s v="In Construction"/>
    <s v="2013/14"/>
    <s v="2015/16"/>
    <n v="186.4"/>
    <m/>
    <n v="32.21"/>
    <n v="107.31"/>
    <n v="43.87"/>
    <n v="2.73"/>
    <m/>
    <m/>
    <s v="Estimated"/>
    <s v="Nominal"/>
    <m/>
    <s v="http://www.highways.gov.uk/roads"/>
    <s v="Highways Agency Major Projects Portfolio Office"/>
    <s v="Actuals are included for all schemes for 2011/12 and 2012/13, for the remaining years and for schemes under construction the profile represents the forecast outturn as @ end of November 2013.  Total capex represents the sum of the period 2011/2012 to 2020/2021 and does not therefore necessarily represent the total outturn cost of the scheme."/>
    <s v="Yes"/>
    <n v="32.21"/>
    <n v="104.89736070381232"/>
    <n v="42.084077982650271"/>
    <n v="2.5725572674004957"/>
    <n v="0"/>
    <n v="0"/>
    <n v="181.76399595386312"/>
    <n v="0"/>
    <n v="149.55399595386311"/>
  </r>
  <r>
    <x v="4"/>
    <s v="Roads - HA Majors"/>
    <s v="SR10 committed starts"/>
    <m/>
    <m/>
    <s v="M25 Junctions 5 to 6/7"/>
    <s v="Managed motorway project"/>
    <s v="South East"/>
    <s v="Public"/>
    <s v="No"/>
    <s v="Public"/>
    <s v="In Construction"/>
    <s v="2013/14 (Q1)"/>
    <s v="2014/15"/>
    <n v="121.75000000000001"/>
    <m/>
    <n v="28.48"/>
    <n v="87.37"/>
    <n v="5.7"/>
    <m/>
    <m/>
    <m/>
    <s v="Estimated"/>
    <s v="Nominal"/>
    <m/>
    <s v="http://www.highways.gov.uk/roads"/>
    <s v="Highways Agency Major Projects Portfolio Office"/>
    <s v="Actuals are included for all schemes for 2011/12 and 2012/13, for the remaining years and for schemes under construction the profile represents the forecast outturn as @ end of November 2013.  Total capex represents the sum of the period 2011/2012 to 2020/2021 and does not therefore necessarily represent the total outturn cost of the scheme."/>
    <s v="Yes"/>
    <n v="28.48"/>
    <n v="85.405669599217987"/>
    <n v="5.4679563369297144"/>
    <n v="0"/>
    <n v="0"/>
    <n v="0"/>
    <n v="119.35362593614771"/>
    <n v="0"/>
    <n v="90.873625936147704"/>
  </r>
  <r>
    <x v="4"/>
    <s v="Roads - HA Majors"/>
    <s v="SR10 committed starts"/>
    <m/>
    <m/>
    <s v="M4 J19 - 20 to M5 J15 - 17"/>
    <s v="Managed motorway project"/>
    <s v="South West"/>
    <s v="Public"/>
    <s v="No"/>
    <s v="Public"/>
    <s v="In Construction"/>
    <s v="2011/12 (Q4)"/>
    <s v="2014/15"/>
    <n v="76.61"/>
    <m/>
    <n v="45.97"/>
    <n v="16.29"/>
    <m/>
    <m/>
    <m/>
    <m/>
    <s v="Estimated"/>
    <s v="Nominal"/>
    <m/>
    <s v="http://www.highways.gov.uk/roads"/>
    <s v="Highways Agency Major Projects Portfolio Office"/>
    <s v="Actuals are included for all schemes for 2011/12 and 2012/13, for the remaining years and for schemes under construction the profile represents the forecast outturn as @ end of November 2013.  Total capex represents the sum of the period 2011/2012 to 2020/2021 and does not therefore necessarily represent the total outturn cost of the scheme."/>
    <m/>
    <n v="45.97"/>
    <n v="15.92375366568915"/>
    <n v="0"/>
    <n v="0"/>
    <n v="0"/>
    <n v="0"/>
    <n v="61.893753665689147"/>
    <n v="0"/>
    <n v="15.923753665689148"/>
  </r>
  <r>
    <x v="4"/>
    <s v="Roads - HA Majors"/>
    <s v="SR10 committed starts"/>
    <m/>
    <m/>
    <s v="M6 Junctions 5 to 8"/>
    <s v="Managed motorway project"/>
    <s v="West Midlands"/>
    <s v="Public"/>
    <s v="No"/>
    <s v="Public"/>
    <s v="In Construction"/>
    <s v="2012/13 (Q1)"/>
    <s v="2014/15"/>
    <n v="98.929999999999993"/>
    <m/>
    <n v="41"/>
    <n v="41.71"/>
    <n v="2.21"/>
    <m/>
    <m/>
    <m/>
    <s v="Estimated"/>
    <s v="Nominal"/>
    <m/>
    <s v="http://www.highways.gov.uk/roads"/>
    <s v="Highways Agency Major Projects Portfolio Office"/>
    <s v="Actuals are included for all schemes for 2011/12 and 2012/13, for the remaining years and for schemes under construction the profile represents the forecast outturn as @ end of November 2013.  Total capex represents the sum of the period 2011/2012 to 2020/2021 and does not therefore necessarily represent the total outturn cost of the scheme."/>
    <m/>
    <n v="41"/>
    <n v="40.772238514173999"/>
    <n v="2.120032193792047"/>
    <n v="0"/>
    <n v="0"/>
    <n v="0"/>
    <n v="83.892270707966048"/>
    <n v="0"/>
    <n v="42.892270707966048"/>
  </r>
  <r>
    <x v="4"/>
    <s v="Roads - HA Majors"/>
    <s v="SR10 committed starts"/>
    <m/>
    <m/>
    <s v="Manchester Smart motorways, M60 J8 to M62 J20"/>
    <s v="Managed motorway project"/>
    <s v="North West"/>
    <s v="Public"/>
    <s v="No"/>
    <s v="Public"/>
    <s v="Planning &amp; Consents"/>
    <s v="2014/2015"/>
    <s v="2016/17"/>
    <n v="254.72696949891758"/>
    <m/>
    <n v="2.5"/>
    <n v="5.5877308174829237"/>
    <n v="212.4947465149063"/>
    <n v="32.244492166528389"/>
    <m/>
    <m/>
    <s v="Estimated"/>
    <s v="Nominal"/>
    <m/>
    <s v="http://www.highways.gov.uk/roads"/>
    <s v="Highways Agency Major Projects Portfolio Office"/>
    <s v="Actuals are included for all schemes for 2011/12 and 2012/13, for future years the profile represents the forecast outturn as @ end of November 2013.  Total capex represents the sum of the period 2011/2012 to 2020/2021."/>
    <s v="Yes"/>
    <n v="2.5"/>
    <n v="5.4621024608826234"/>
    <n v="203.84420978429037"/>
    <n v="30.384909398036985"/>
    <n v="0"/>
    <n v="0"/>
    <n v="242.19122164320999"/>
    <n v="0"/>
    <n v="239.69122164320999"/>
  </r>
  <r>
    <x v="4"/>
    <s v="Roads - HA Majors"/>
    <s v="SR13 Funded for Delivery"/>
    <m/>
    <m/>
    <s v="A14 Cambridge to Huntingdon"/>
    <s v="Trunk road improvement project"/>
    <s v="East of England"/>
    <s v="Public"/>
    <s v="No"/>
    <s v="Public"/>
    <s v="Scoping"/>
    <n v="2016"/>
    <s v="2019/20"/>
    <n v="1575.89"/>
    <m/>
    <n v="0.69"/>
    <n v="5.91"/>
    <n v="23.5"/>
    <n v="45.79"/>
    <n v="1500"/>
    <m/>
    <s v="Estimated"/>
    <s v="Nominal"/>
    <m/>
    <s v="http://www.highways.gov.uk/roads"/>
    <s v="Highways Agency Major Projects Portfolio Office"/>
    <s v="Profile represents funding allocation. Detailed programme yet to be established.Total capex represents the sum of the period 2011/2012 to 2020/2021.  and does not therefore necessarily represent the total outturn cost of the scheme"/>
    <s v="Yes"/>
    <n v="0.69"/>
    <n v="5.7771260997067451"/>
    <n v="22.543328757517244"/>
    <n v="43.149229770794399"/>
    <n v="1389.8652940670665"/>
    <n v="0"/>
    <n v="72.159684628018397"/>
    <n v="1389.8652940670665"/>
    <n v="1461.3349786950848"/>
  </r>
  <r>
    <x v="4"/>
    <s v="Roads - HA Majors"/>
    <s v="SR13 Funded for Delivery"/>
    <m/>
    <m/>
    <s v="A19 Testos"/>
    <s v="Trunk road improvement project"/>
    <s v="North East"/>
    <s v="Public"/>
    <s v="No"/>
    <s v="Public"/>
    <s v="Scoping"/>
    <s v="2016/17"/>
    <s v="2019/20"/>
    <m/>
    <m/>
    <m/>
    <m/>
    <m/>
    <m/>
    <m/>
    <m/>
    <m/>
    <s v="Nominal"/>
    <m/>
    <s v="http://www.highways.gov.uk/roads"/>
    <s v="Highways Agency Major Projects Portfolio Office"/>
    <s v="Profile represents funding allocation. Detailed programme yet to be established.Total capex represents the sum of the period 2011/2012 to 2020/2021.  and does not therefore necessarily represent the total outturn cost of the scheme"/>
    <m/>
    <n v="0"/>
    <n v="0"/>
    <n v="0"/>
    <n v="0"/>
    <n v="0"/>
    <n v="0"/>
    <n v="0"/>
    <n v="0"/>
    <n v="0"/>
  </r>
  <r>
    <x v="4"/>
    <s v="Roads - HA Majors"/>
    <s v="SR13 Funded for Delivery"/>
    <m/>
    <m/>
    <s v="A19/A1058 Coast Road"/>
    <s v="Junction improvement project"/>
    <s v="North East"/>
    <s v="Public"/>
    <s v="No"/>
    <s v="Public"/>
    <s v="Scoping"/>
    <s v="2016/17"/>
    <s v="2018/19"/>
    <n v="45.768531818782961"/>
    <m/>
    <n v="0.28999999999999998"/>
    <n v="10.61864704941628"/>
    <n v="2.4579219558063001"/>
    <n v="4.9448051192553804"/>
    <n v="27.457157694305003"/>
    <m/>
    <s v="Estimated"/>
    <s v="Nominal"/>
    <m/>
    <s v="http://www.highways.gov.uk/roads"/>
    <s v="Highways Agency Major Projects Portfolio Office"/>
    <s v="Profile represents funding allocation. Detailed programme yet to be established.Total capex represents the sum of the period 2011/2012 to 2020/2021.  and does not therefore necessarily represent the total outturn cost of the scheme"/>
    <m/>
    <n v="0.28999999999999998"/>
    <n v="10.37990913921435"/>
    <n v="2.3578613919174978"/>
    <n v="4.6596316283588299"/>
    <n v="25.441167035360696"/>
    <n v="0"/>
    <n v="17.687402159490677"/>
    <n v="25.441167035360696"/>
    <n v="42.838569194851374"/>
  </r>
  <r>
    <x v="4"/>
    <s v="Roads - HA Majors"/>
    <s v="SR13 Funded for Delivery"/>
    <m/>
    <m/>
    <s v="A2 Bean"/>
    <s v="Trunk road improvement project"/>
    <s v="South East"/>
    <s v="Public"/>
    <s v="No"/>
    <s v="Public"/>
    <s v="Scoping"/>
    <s v="After 2015"/>
    <s v="After 2015"/>
    <m/>
    <m/>
    <m/>
    <m/>
    <m/>
    <m/>
    <m/>
    <m/>
    <m/>
    <s v="Nominal"/>
    <m/>
    <s v="http://www.highways.gov.uk/roads"/>
    <s v="Highways Agency Major Projects Portfolio Office"/>
    <s v="Detailed programme yet to be established. Spend from SR13 allocations from 15/16 onwards."/>
    <m/>
    <n v="0"/>
    <n v="0"/>
    <n v="0"/>
    <n v="0"/>
    <n v="0"/>
    <n v="0"/>
    <n v="0"/>
    <n v="0"/>
    <n v="0"/>
  </r>
  <r>
    <x v="4"/>
    <s v="Roads - HA Majors"/>
    <s v="SR13 Funded for Delivery"/>
    <m/>
    <m/>
    <s v="A2 Ebbsfleet"/>
    <s v="Trunk road improvement project"/>
    <s v="South East"/>
    <s v="Public"/>
    <s v="No"/>
    <s v="Public"/>
    <s v="Scoping"/>
    <s v="After 2015"/>
    <s v="After 2015"/>
    <m/>
    <m/>
    <m/>
    <m/>
    <m/>
    <m/>
    <m/>
    <m/>
    <m/>
    <s v="Nominal"/>
    <m/>
    <s v="http://www.highways.gov.uk/roads"/>
    <s v="Highways Agency Major Projects Portfolio Office"/>
    <s v="Detailed programme yet to be established. Spend from SR13 allocations from 15/16 onwards."/>
    <m/>
    <n v="0"/>
    <n v="0"/>
    <n v="0"/>
    <n v="0"/>
    <n v="0"/>
    <n v="0"/>
    <n v="0"/>
    <n v="0"/>
    <n v="0"/>
  </r>
  <r>
    <x v="4"/>
    <s v="Roads - HA Majors"/>
    <s v="SR13 Funded for Delivery"/>
    <m/>
    <m/>
    <s v="A21 Tonbridge to Pembury"/>
    <s v="Trunk road improvement project"/>
    <s v="South East"/>
    <s v="Public"/>
    <s v="No"/>
    <s v="Public"/>
    <s v="Scoping"/>
    <s v="2015/16"/>
    <s v="2017/18"/>
    <n v="69.318178070220711"/>
    <m/>
    <n v="1.6"/>
    <n v="21.374604189988805"/>
    <n v="0.81930731860210004"/>
    <n v="20.963187899941829"/>
    <n v="24.421078661687975"/>
    <m/>
    <s v="Estimated"/>
    <s v="Nominal"/>
    <m/>
    <s v="http://www.highways.gov.uk/roads"/>
    <s v="Highways Agency Major Projects Portfolio Office"/>
    <s v="Profile represents funding allocation. Detailed programme yet to be established.Total capex represents the sum of the period 2011/2012 to 2020/2021.  and does not therefore necessarily represent the total outturn cost of the scheme"/>
    <m/>
    <n v="1.6"/>
    <n v="20.894041241435783"/>
    <n v="0.78595379730583248"/>
    <n v="19.754212959662087"/>
    <n v="22.628006450374617"/>
    <n v="0"/>
    <n v="43.034207998403701"/>
    <n v="22.628006450374617"/>
    <n v="64.06221444877832"/>
  </r>
  <r>
    <x v="4"/>
    <s v="Roads - HA Majors"/>
    <s v="SR13 Funded for Delivery"/>
    <m/>
    <m/>
    <s v="A27 Chichester Bypass"/>
    <s v="Trunk road improvement project"/>
    <s v="South East"/>
    <s v="Public"/>
    <s v="No"/>
    <s v="Public"/>
    <s v="Scoping"/>
    <s v="After 2015"/>
    <s v="After 2015"/>
    <m/>
    <m/>
    <m/>
    <m/>
    <m/>
    <m/>
    <m/>
    <m/>
    <m/>
    <s v="Nominal"/>
    <m/>
    <s v="http://www.highways.gov.uk/roads"/>
    <s v="Highways Agency Major Projects Portfolio Office"/>
    <s v="Detailed programme yet to be established. Spend from SR13 allocations from 15/16 onwards."/>
    <m/>
    <n v="0"/>
    <n v="0"/>
    <n v="0"/>
    <n v="0"/>
    <n v="0"/>
    <n v="0"/>
    <n v="0"/>
    <n v="0"/>
    <n v="0"/>
  </r>
  <r>
    <x v="4"/>
    <s v="Roads - HA Majors"/>
    <s v="SR13 Funded for Delivery"/>
    <m/>
    <m/>
    <s v="A38 Derby Junctions"/>
    <s v="Junction improvement project"/>
    <s v="East Midlands"/>
    <s v="Public"/>
    <s v="No"/>
    <s v="Public"/>
    <s v="Scoping"/>
    <s v="After 2015"/>
    <s v="After 2015"/>
    <m/>
    <m/>
    <m/>
    <m/>
    <m/>
    <m/>
    <m/>
    <m/>
    <m/>
    <s v="Nominal"/>
    <m/>
    <s v="http://www.highways.gov.uk/roads"/>
    <s v="Highways Agency Major Projects Portfolio Office"/>
    <s v="Detailed programme yet to be established. Spend from SR13 allocations from 15/16 onwards."/>
    <m/>
    <n v="0"/>
    <n v="0"/>
    <n v="0"/>
    <n v="0"/>
    <n v="0"/>
    <n v="0"/>
    <n v="0"/>
    <n v="0"/>
    <n v="0"/>
  </r>
  <r>
    <x v="4"/>
    <s v="Roads - HA Majors"/>
    <s v="SR13 Funded for Delivery"/>
    <m/>
    <m/>
    <s v="A63 Castle Street"/>
    <s v="Trunk road improvement project"/>
    <s v="Yorkshire &amp; the Humber"/>
    <s v="Public"/>
    <s v="No"/>
    <s v="Public"/>
    <s v="Scoping"/>
    <s v="2016/17"/>
    <s v="2019/20"/>
    <n v="84.745917376725373"/>
    <m/>
    <n v="0.56000000000000005"/>
    <n v="15.104110027186952"/>
    <n v="2.7310243953403335"/>
    <n v="32.593926701570673"/>
    <n v="33.666856252627419"/>
    <m/>
    <s v="Estimated"/>
    <s v="Nominal"/>
    <m/>
    <s v="http://www.highways.gov.uk/roads"/>
    <s v="Highways Agency Major Projects Portfolio Office"/>
    <s v="Profile represents funding allocation. Detailed programme yet to be established.Total capex represents the sum of the period 2011/2012 to 2020/2021.  and does not therefore necessarily represent the total outturn cost of the scheme"/>
    <m/>
    <n v="0.56000000000000005"/>
    <n v="14.764525930779035"/>
    <n v="2.6198459910194418"/>
    <n v="30.714191578477916"/>
    <n v="31.194930043914443"/>
    <n v="0"/>
    <n v="48.658563500276394"/>
    <n v="31.194930043914443"/>
    <n v="79.293493544190838"/>
  </r>
  <r>
    <x v="4"/>
    <s v="Roads - HA Majors"/>
    <s v="SR13 Funded for Delivery"/>
    <m/>
    <m/>
    <s v="M1 J13-19"/>
    <s v="Managed Motorway"/>
    <s v="South East"/>
    <s v="Public"/>
    <s v="No"/>
    <s v="Public"/>
    <s v="Scoping"/>
    <s v="After 2015"/>
    <s v="After 2015"/>
    <m/>
    <m/>
    <m/>
    <m/>
    <m/>
    <m/>
    <m/>
    <m/>
    <m/>
    <s v="Nominal"/>
    <m/>
    <s v="http://www.highways.gov.uk/roads"/>
    <s v="Highways Agency Major Projects Portfolio Office"/>
    <s v="Detailed programme yet to be established. Spend from SR13 allocations from 15/16 onwards."/>
    <m/>
    <n v="0"/>
    <n v="0"/>
    <n v="0"/>
    <n v="0"/>
    <n v="0"/>
    <n v="0"/>
    <n v="0"/>
    <n v="0"/>
    <n v="0"/>
  </r>
  <r>
    <x v="4"/>
    <s v="Roads - HA Majors"/>
    <s v="SR13 Funded for Delivery"/>
    <m/>
    <m/>
    <s v="M1 J24-25"/>
    <s v="Managed Motorway"/>
    <s v="East Midlands"/>
    <s v="Public"/>
    <s v="No"/>
    <s v="Public"/>
    <s v="Scoping"/>
    <s v="After 2015"/>
    <s v="After 2015"/>
    <m/>
    <m/>
    <m/>
    <m/>
    <m/>
    <m/>
    <m/>
    <m/>
    <m/>
    <s v="Nominal"/>
    <m/>
    <s v="http://www.highways.gov.uk/roads"/>
    <s v="Highways Agency Major Projects Portfolio Office"/>
    <s v="Detailed programme yet to be established. Spend from SR13 allocations from 15/16 onwards."/>
    <m/>
    <n v="0"/>
    <n v="0"/>
    <n v="0"/>
    <n v="0"/>
    <n v="0"/>
    <n v="0"/>
    <n v="0"/>
    <n v="0"/>
    <n v="0"/>
  </r>
  <r>
    <x v="4"/>
    <s v="Roads - HA Majors"/>
    <s v="SR13 Funded for Delivery"/>
    <m/>
    <m/>
    <s v="M20 J3-5"/>
    <s v="Trunk road improvement project"/>
    <s v="South East"/>
    <s v="Public"/>
    <s v="No"/>
    <s v="Public"/>
    <s v="Scoping"/>
    <s v="After 2015"/>
    <s v="After 2015"/>
    <m/>
    <m/>
    <m/>
    <m/>
    <m/>
    <m/>
    <m/>
    <m/>
    <m/>
    <s v="Nominal"/>
    <m/>
    <s v="http://www.highways.gov.uk/roads"/>
    <s v="Highways Agency Major Projects Portfolio Office"/>
    <s v="Detailed programme yet to be established. Spend from SR13 allocations from 15/16 onwards."/>
    <m/>
    <n v="0"/>
    <n v="0"/>
    <n v="0"/>
    <n v="0"/>
    <n v="0"/>
    <n v="0"/>
    <n v="0"/>
    <n v="0"/>
    <n v="0"/>
  </r>
  <r>
    <x v="4"/>
    <s v="Roads - HA Majors"/>
    <s v="SR13 Funded for Delivery"/>
    <m/>
    <m/>
    <s v="M20 Junction 10a"/>
    <s v="Junction improvement project"/>
    <s v="South East"/>
    <s v="Public"/>
    <s v="No"/>
    <s v="Public/Private"/>
    <s v="Scoping"/>
    <s v="After 2015"/>
    <s v="After 2015"/>
    <m/>
    <m/>
    <m/>
    <m/>
    <m/>
    <m/>
    <m/>
    <m/>
    <m/>
    <s v="Nominal"/>
    <m/>
    <s v="http://www.highways.gov.uk/roads"/>
    <s v="Highways Agency Major Projects Portfolio Office"/>
    <s v="Detailed programme yet to be established. Spend from SR13 allocations from 15/16 onwards."/>
    <m/>
    <n v="0"/>
    <n v="0"/>
    <n v="0"/>
    <n v="0"/>
    <n v="0"/>
    <n v="0"/>
    <n v="0"/>
    <n v="0"/>
    <n v="0"/>
  </r>
  <r>
    <x v="4"/>
    <s v="Roads - HA Majors"/>
    <s v="SR13 Funded for Delivery"/>
    <m/>
    <m/>
    <s v="M23 J8-10a"/>
    <s v="Managed Motorway"/>
    <s v="South East"/>
    <s v="Public"/>
    <s v="No"/>
    <s v="Public"/>
    <s v="Scoping"/>
    <s v="After 2015"/>
    <s v="After 2015"/>
    <m/>
    <m/>
    <m/>
    <m/>
    <m/>
    <m/>
    <m/>
    <m/>
    <m/>
    <s v="Nominal"/>
    <m/>
    <s v="http://www.highways.gov.uk/roads"/>
    <s v="Highways Agency Major Projects Portfolio Office"/>
    <s v="Detailed programme yet to be established. Spend from SR13 allocations from 15/16 onwards."/>
    <m/>
    <n v="0"/>
    <n v="0"/>
    <n v="0"/>
    <n v="0"/>
    <n v="0"/>
    <n v="0"/>
    <n v="0"/>
    <n v="0"/>
    <n v="0"/>
  </r>
  <r>
    <x v="4"/>
    <s v="Roads - HA Majors"/>
    <s v="SR13 Funded for Delivery"/>
    <m/>
    <m/>
    <s v="M27 J4-11"/>
    <s v="Trunk road improvement project"/>
    <s v="South East"/>
    <s v="Public"/>
    <s v="No"/>
    <s v="Public"/>
    <s v="Scoping"/>
    <s v="After 2015"/>
    <s v="After 2015"/>
    <m/>
    <m/>
    <m/>
    <m/>
    <m/>
    <m/>
    <m/>
    <m/>
    <m/>
    <s v="Nominal"/>
    <m/>
    <s v="http://www.highways.gov.uk/roads"/>
    <s v="Highways Agency Major Projects Portfolio Office"/>
    <s v="Detailed programme yet to be established. Spend from SR13 allocations from 15/16 onwards."/>
    <m/>
    <n v="0"/>
    <n v="0"/>
    <n v="0"/>
    <n v="0"/>
    <n v="0"/>
    <n v="0"/>
    <n v="0"/>
    <n v="0"/>
    <n v="0"/>
  </r>
  <r>
    <x v="4"/>
    <s v="Roads - HA Majors"/>
    <s v="SR13 Funded for Delivery"/>
    <m/>
    <m/>
    <s v="M3 J9-14"/>
    <s v="Trunk road improvement project"/>
    <s v="South East"/>
    <s v="Public"/>
    <s v="No"/>
    <s v="Public"/>
    <s v="Scoping"/>
    <s v="After 2015"/>
    <s v="After 2015"/>
    <m/>
    <m/>
    <m/>
    <m/>
    <m/>
    <m/>
    <m/>
    <m/>
    <m/>
    <s v="Nominal"/>
    <m/>
    <s v="http://www.highways.gov.uk/roads"/>
    <s v="Highways Agency Major Projects Portfolio Office"/>
    <s v="Detailed programme yet to be established. Spend from SR13 allocations from 15/16 onwards."/>
    <m/>
    <n v="0"/>
    <n v="0"/>
    <n v="0"/>
    <n v="0"/>
    <n v="0"/>
    <n v="0"/>
    <n v="0"/>
    <n v="0"/>
    <n v="0"/>
  </r>
  <r>
    <x v="4"/>
    <s v="Roads - HA Majors"/>
    <s v="SR13 Funded for Delivery"/>
    <m/>
    <m/>
    <s v="M4 J3 - J12 Managed Motorway"/>
    <s v="Managed Motorway"/>
    <s v="South East"/>
    <s v="Public"/>
    <s v="No"/>
    <s v="Public"/>
    <s v="Scoping"/>
    <s v="After 2015"/>
    <s v="After 2015"/>
    <n v="58.29858890520218"/>
    <m/>
    <n v="0.9"/>
    <n v="23.113865344634576"/>
    <n v="2.5876456145849662"/>
    <n v="7.6470366492146589"/>
    <n v="22.470041296767974"/>
    <m/>
    <s v="Estimated"/>
    <s v="Nominal"/>
    <m/>
    <s v="http://www.highways.gov.uk/roads"/>
    <s v="Highways Agency Major Projects Portfolio Office"/>
    <s v="Detailed programme yet to be established. Spend from SR13 allocations from 15/16 onwards."/>
    <m/>
    <n v="0.9"/>
    <n v="22.594198772858824"/>
    <n v="2.4823040764909217"/>
    <n v="7.2060218703352046"/>
    <n v="20.820220369754367"/>
    <n v="0"/>
    <n v="33.182524719684949"/>
    <n v="20.820220369754367"/>
    <n v="53.102745089439317"/>
  </r>
  <r>
    <x v="4"/>
    <s v="Roads - HA Majors"/>
    <s v="SR13 Funded for Delivery"/>
    <m/>
    <m/>
    <s v="M5 J4a-6"/>
    <s v="Managed Motorway"/>
    <s v="West Midlands"/>
    <s v="Public"/>
    <s v="No"/>
    <s v="Public"/>
    <s v="Scoping"/>
    <s v="After 2015"/>
    <s v="After 2015"/>
    <m/>
    <m/>
    <m/>
    <m/>
    <m/>
    <m/>
    <m/>
    <m/>
    <m/>
    <s v="Nominal"/>
    <m/>
    <s v="http://www.highways.gov.uk/roads"/>
    <s v="Highways Agency Major Projects Portfolio Office"/>
    <s v="Detailed programme yet to be established. Spend from SR13 allocations from 15/16 onwards."/>
    <m/>
    <n v="0"/>
    <n v="0"/>
    <n v="0"/>
    <n v="0"/>
    <n v="0"/>
    <n v="0"/>
    <n v="0"/>
    <n v="0"/>
    <n v="0"/>
  </r>
  <r>
    <x v="4"/>
    <s v="Roads - HA Majors"/>
    <s v="SR13 Funded for Delivery"/>
    <m/>
    <m/>
    <s v="M54 / M6 / M6 Toll"/>
    <s v="Trunk road improvement project"/>
    <s v="West Midlands"/>
    <s v="Public"/>
    <s v="No"/>
    <s v="Public/Private"/>
    <s v="Scoping"/>
    <s v="After 2015"/>
    <s v="After 2015"/>
    <m/>
    <m/>
    <m/>
    <m/>
    <m/>
    <m/>
    <m/>
    <m/>
    <m/>
    <s v="Nominal"/>
    <m/>
    <s v="http://www.highways.gov.uk/roads"/>
    <s v="Highways Agency Major Projects Portfolio Office"/>
    <s v="Detailed programme yet to be established. Spend from SR13 allocations from 15/16 onwards."/>
    <m/>
    <n v="0"/>
    <n v="0"/>
    <n v="0"/>
    <n v="0"/>
    <n v="0"/>
    <n v="0"/>
    <n v="0"/>
    <n v="0"/>
    <n v="0"/>
  </r>
  <r>
    <x v="4"/>
    <s v="Roads - HA Majors"/>
    <s v="SR13 Funded for Delivery"/>
    <m/>
    <m/>
    <s v="M56 J6-8"/>
    <s v="Trunk road improvement project"/>
    <s v="North West"/>
    <s v="Public"/>
    <s v="No"/>
    <s v="Public"/>
    <s v="Scoping"/>
    <s v="After 2015"/>
    <s v="After 2015"/>
    <m/>
    <m/>
    <m/>
    <m/>
    <m/>
    <m/>
    <m/>
    <m/>
    <m/>
    <s v="Nominal"/>
    <m/>
    <s v="http://www.highways.gov.uk/roads"/>
    <s v="Highways Agency Major Projects Portfolio Office"/>
    <s v="Detailed programme yet to be established. Spend from SR13 allocations from 15/16 onwards."/>
    <m/>
    <n v="0"/>
    <n v="0"/>
    <n v="0"/>
    <n v="0"/>
    <n v="0"/>
    <n v="0"/>
    <n v="0"/>
    <n v="0"/>
    <n v="0"/>
  </r>
  <r>
    <x v="4"/>
    <s v="Roads - HA Majors"/>
    <s v="SR13 Funded for Delivery"/>
    <m/>
    <m/>
    <s v="M6 J13-15"/>
    <s v="Trunk road improvement project"/>
    <s v="West Midlands"/>
    <s v="Public"/>
    <s v="No"/>
    <s v="Public"/>
    <s v="Scoping"/>
    <s v="After 2015"/>
    <s v="After 2015"/>
    <m/>
    <m/>
    <m/>
    <m/>
    <m/>
    <m/>
    <m/>
    <m/>
    <m/>
    <s v="Nominal"/>
    <m/>
    <s v="http://www.highways.gov.uk/roads"/>
    <s v="Highways Agency Major Projects Portfolio Office"/>
    <s v="Detailed programme yet to be established. Spend from SR13 allocations from 15/16 onwards."/>
    <m/>
    <n v="0"/>
    <n v="0"/>
    <n v="0"/>
    <n v="0"/>
    <n v="0"/>
    <n v="0"/>
    <n v="0"/>
    <n v="0"/>
    <n v="0"/>
  </r>
  <r>
    <x v="4"/>
    <s v="Roads - HA Majors"/>
    <s v="SR13 Funded for Delivery"/>
    <m/>
    <m/>
    <s v="M6 J16-19"/>
    <s v="Trunk road improvement project"/>
    <s v="North West"/>
    <s v="Public"/>
    <s v="No"/>
    <s v="Public"/>
    <s v="Scoping"/>
    <s v="After 2015"/>
    <s v="After 2015"/>
    <m/>
    <m/>
    <m/>
    <m/>
    <m/>
    <m/>
    <m/>
    <m/>
    <m/>
    <s v="Nominal"/>
    <m/>
    <s v="http://www.highways.gov.uk/roads"/>
    <s v="Highways Agency Major Projects Portfolio Office"/>
    <s v="Detailed programme yet to be established. Spend from SR13 allocations from 15/16 onwards."/>
    <m/>
    <n v="0"/>
    <n v="0"/>
    <n v="0"/>
    <n v="0"/>
    <n v="0"/>
    <n v="0"/>
    <n v="0"/>
    <n v="0"/>
    <n v="0"/>
  </r>
  <r>
    <x v="4"/>
    <s v="Roads - HA Majors"/>
    <s v="SR13 Funded for Delivery"/>
    <m/>
    <m/>
    <s v="M6 J21a-26"/>
    <s v="Trunk road improvement project"/>
    <s v="North West"/>
    <s v="Public"/>
    <s v="No"/>
    <s v="Public"/>
    <s v="Scoping"/>
    <s v="After 2015"/>
    <s v="After 2015"/>
    <m/>
    <m/>
    <m/>
    <m/>
    <m/>
    <m/>
    <m/>
    <m/>
    <m/>
    <s v="Nominal"/>
    <m/>
    <s v="http://www.highways.gov.uk/roads"/>
    <s v="Highways Agency Major Projects Portfolio Office"/>
    <s v="Detailed programme yet to be established. Spend from SR13 allocations from 15/16 onwards."/>
    <m/>
    <n v="0"/>
    <n v="0"/>
    <n v="0"/>
    <n v="0"/>
    <n v="0"/>
    <n v="0"/>
    <n v="0"/>
    <n v="0"/>
    <n v="0"/>
  </r>
  <r>
    <x v="4"/>
    <s v="Roads - HA Majors"/>
    <s v="SR13 Funded for Delivery"/>
    <m/>
    <m/>
    <s v="M6 J2-4"/>
    <s v="Trunk road improvement project"/>
    <s v="West Midlands"/>
    <s v="Public"/>
    <s v="No"/>
    <s v="Public"/>
    <s v="Scoping"/>
    <s v="After 2015"/>
    <s v="After 2015"/>
    <m/>
    <m/>
    <m/>
    <m/>
    <m/>
    <m/>
    <m/>
    <m/>
    <m/>
    <s v="Nominal"/>
    <m/>
    <s v="http://www.highways.gov.uk/roads"/>
    <s v="Highways Agency Major Projects Portfolio Office"/>
    <s v="Detailed programme yet to be established. Spend from SR13 allocations from 15/16 onwards."/>
    <m/>
    <n v="0"/>
    <n v="0"/>
    <n v="0"/>
    <n v="0"/>
    <n v="0"/>
    <n v="0"/>
    <n v="0"/>
    <n v="0"/>
    <n v="0"/>
  </r>
  <r>
    <x v="4"/>
    <s v="Roads - HA Majors"/>
    <s v="SR13 Funded for Delivery"/>
    <m/>
    <m/>
    <s v="M60 J24-27 &amp; J1-4"/>
    <s v="Management Motorway"/>
    <s v="North West"/>
    <s v="Public"/>
    <s v="No"/>
    <s v="Public"/>
    <s v="Scoping"/>
    <s v="After 2015"/>
    <s v="After 2015"/>
    <m/>
    <m/>
    <m/>
    <m/>
    <m/>
    <m/>
    <m/>
    <m/>
    <m/>
    <s v="Nominal"/>
    <m/>
    <s v="http://www.highways.gov.uk/roads"/>
    <s v="Highways Agency Major Projects Portfolio Office"/>
    <s v="Detailed programme yet to be established. Spend from SR13 allocations from 15/16 onwards."/>
    <m/>
    <n v="0"/>
    <n v="0"/>
    <n v="0"/>
    <n v="0"/>
    <n v="0"/>
    <n v="0"/>
    <n v="0"/>
    <n v="0"/>
    <n v="0"/>
  </r>
  <r>
    <x v="4"/>
    <s v="Roads - HA Majors"/>
    <s v="SR13 Funded for Delivery"/>
    <m/>
    <m/>
    <s v="M62 J10-12"/>
    <s v="Trunk road improvement project"/>
    <s v="North West"/>
    <s v="Public"/>
    <s v="No"/>
    <s v="Public"/>
    <s v="Scoping"/>
    <s v="After 2015"/>
    <s v="After 2015"/>
    <m/>
    <m/>
    <m/>
    <m/>
    <m/>
    <m/>
    <m/>
    <m/>
    <m/>
    <s v="Nominal"/>
    <m/>
    <s v="http://www.highways.gov.uk/roads"/>
    <s v="Highways Agency Major Projects Portfolio Office"/>
    <s v="Detailed programme yet to be established. Spend from SR13 allocations from 15/16 onwards."/>
    <m/>
    <n v="0"/>
    <n v="0"/>
    <n v="0"/>
    <n v="0"/>
    <n v="0"/>
    <n v="0"/>
    <n v="0"/>
    <n v="0"/>
    <n v="0"/>
  </r>
  <r>
    <x v="4"/>
    <s v="Roads - HA Majors"/>
    <s v="SR13 Funded for Delivery"/>
    <s v="Schemes scheduled to start after 2015/16 and funding has yet to be allocated and scheme forecasts have yet to be established"/>
    <m/>
    <m/>
    <s v="Managed Motorway &amp; Traditional project"/>
    <s v="England"/>
    <s v="Public"/>
    <s v="No"/>
    <s v="Public"/>
    <s v="Scoping"/>
    <s v="After 2015"/>
    <s v="After 2015"/>
    <n v="8263.81"/>
    <m/>
    <m/>
    <m/>
    <m/>
    <n v="110.21"/>
    <n v="5139"/>
    <n v="3014"/>
    <s v="Estimated"/>
    <s v="Nominal"/>
    <m/>
    <s v="http://www.highways.gov.uk/"/>
    <m/>
    <s v="Unallocated funding from SR13."/>
    <m/>
    <n v="0"/>
    <n v="0"/>
    <n v="0"/>
    <n v="103.85404265209108"/>
    <n v="4761.6784974737702"/>
    <n v="2587.6362775182793"/>
    <n v="103.85404265209108"/>
    <n v="7349.3147749920499"/>
    <n v="7453.1688176441412"/>
  </r>
  <r>
    <x v="4"/>
    <s v="Roads - HA pinchpoints"/>
    <s v="Pinchpoint schemes"/>
    <s v="Pinchpoints Tranches 1, 2 and 3"/>
    <n v="9"/>
    <m/>
    <m/>
    <s v="East Midlands"/>
    <s v="Public"/>
    <s v="No"/>
    <s v="Public"/>
    <s v="Active Programme"/>
    <s v="2012/2013"/>
    <s v="2014/15"/>
    <n v="29.3"/>
    <m/>
    <n v="1.5"/>
    <n v="12.9"/>
    <n v="14.9"/>
    <m/>
    <m/>
    <m/>
    <m/>
    <s v="Nominal"/>
    <m/>
    <s v="http://www.highways.gov.uk/our-road-network/managing-our-roads/improving-our-network/pinch-point-programme/"/>
    <s v="Highways Agency Pinchpoint Programme"/>
    <m/>
    <m/>
    <n v="1.5"/>
    <n v="12.609970674486805"/>
    <n v="14.293429722851359"/>
    <n v="0"/>
    <n v="0"/>
    <n v="0"/>
    <n v="28.403400397338164"/>
    <n v="0"/>
    <n v="26.903400397338164"/>
  </r>
  <r>
    <x v="4"/>
    <s v="Roads - HA pinchpoints"/>
    <s v="Pinchpoint schemes"/>
    <s v="Pinchpoints Tranches 1, 2 and 3"/>
    <n v="8"/>
    <m/>
    <m/>
    <s v="East of England"/>
    <s v="Public"/>
    <s v="No"/>
    <s v="Public"/>
    <s v="Active Programme"/>
    <s v="2012/2013"/>
    <s v="2014/15"/>
    <n v="27.9"/>
    <m/>
    <n v="0.5"/>
    <n v="2.9"/>
    <n v="24.5"/>
    <m/>
    <m/>
    <m/>
    <m/>
    <s v="Nominal"/>
    <m/>
    <s v="http://www.highways.gov.uk/our-road-network/managing-our-roads/improving-our-network/pinch-point-programme/"/>
    <s v="Highways Agency Pinchpoint Programme"/>
    <m/>
    <m/>
    <n v="0.5"/>
    <n v="2.8347996089931575"/>
    <n v="23.502619342943508"/>
    <n v="0"/>
    <n v="0"/>
    <n v="0"/>
    <n v="26.837418951936666"/>
    <n v="0"/>
    <n v="26.337418951936666"/>
  </r>
  <r>
    <x v="4"/>
    <s v="Roads - HA pinchpoints"/>
    <s v="Pinchpoint schemes"/>
    <s v="Pinchpoints Tranches 1, 2 and 3"/>
    <n v="4"/>
    <m/>
    <m/>
    <s v="North East"/>
    <s v="Public"/>
    <s v="No"/>
    <s v="Public"/>
    <s v="Active Programme"/>
    <s v="2012/2013"/>
    <s v="2014/15"/>
    <n v="37.4"/>
    <m/>
    <n v="1.5"/>
    <n v="16.600000000000001"/>
    <n v="19.3"/>
    <m/>
    <m/>
    <m/>
    <m/>
    <s v="Nominal"/>
    <m/>
    <s v="http://www.highways.gov.uk/our-road-network/managing-our-roads/improving-our-network/pinch-point-programme/"/>
    <s v="Highways Agency Pinchpoint Programme"/>
    <s v="Figure includes Technical allocation for both North East and Yorkshire and Humber"/>
    <m/>
    <n v="1.5"/>
    <n v="16.226783968719456"/>
    <n v="18.514308298726927"/>
    <n v="0"/>
    <n v="0"/>
    <n v="0"/>
    <n v="36.241092267446383"/>
    <n v="0"/>
    <n v="34.741092267446383"/>
  </r>
  <r>
    <x v="4"/>
    <s v="Roads - HA pinchpoints"/>
    <s v="Pinchpoint schemes"/>
    <s v="Pinchpoints Tranches 1, 2 and 3"/>
    <n v="25"/>
    <m/>
    <m/>
    <s v="North West"/>
    <s v="Public"/>
    <s v="No"/>
    <s v="Public"/>
    <s v="Active Programme"/>
    <s v="2012/2013"/>
    <s v="2014/15"/>
    <n v="67.599999999999994"/>
    <m/>
    <n v="2"/>
    <n v="23.6"/>
    <n v="42"/>
    <m/>
    <m/>
    <m/>
    <m/>
    <s v="Nominal"/>
    <m/>
    <s v="http://www.highways.gov.uk/our-road-network/managing-our-roads/improving-our-network/pinch-point-programme/"/>
    <s v="Highways Agency Pinchpoint Programme"/>
    <m/>
    <m/>
    <n v="2"/>
    <n v="23.069403714565006"/>
    <n v="40.290204587903155"/>
    <n v="0"/>
    <n v="0"/>
    <n v="0"/>
    <n v="65.35960830246816"/>
    <n v="0"/>
    <n v="63.35960830246816"/>
  </r>
  <r>
    <x v="4"/>
    <s v="Roads - HA pinchpoints"/>
    <s v="Pinchpoint schemes"/>
    <s v="Pinchpoints Tranches 1, 2 and 3"/>
    <n v="8"/>
    <m/>
    <m/>
    <s v="South East"/>
    <s v="Public"/>
    <s v="No"/>
    <s v="Public"/>
    <s v="Active Programme"/>
    <s v="2012/2013"/>
    <s v="2014/15"/>
    <n v="30.9"/>
    <m/>
    <n v="0.7"/>
    <n v="13"/>
    <n v="17.2"/>
    <m/>
    <m/>
    <m/>
    <m/>
    <s v="Nominal"/>
    <m/>
    <s v="http://www.highways.gov.uk/our-road-network/managing-our-roads/improving-our-network/pinch-point-programme/"/>
    <s v="Highways Agency Pinchpoint Programme"/>
    <m/>
    <m/>
    <n v="0.7"/>
    <n v="12.707722385141741"/>
    <n v="16.499798069331771"/>
    <n v="0"/>
    <n v="0"/>
    <n v="0"/>
    <n v="29.907520454473513"/>
    <n v="0"/>
    <n v="29.207520454473514"/>
  </r>
  <r>
    <x v="4"/>
    <s v="Roads - HA pinchpoints"/>
    <s v="Pinchpoint schemes"/>
    <s v="Pinchpoints Tranches 1, 2 and 3"/>
    <n v="14"/>
    <m/>
    <m/>
    <s v="South West"/>
    <s v="Public"/>
    <s v="No"/>
    <s v="Public"/>
    <s v="Active Programme"/>
    <s v="2012/2013"/>
    <s v="2014/15"/>
    <n v="22.5"/>
    <m/>
    <n v="0.4"/>
    <n v="1.7"/>
    <n v="20.399999999999999"/>
    <m/>
    <m/>
    <m/>
    <m/>
    <s v="Nominal"/>
    <m/>
    <s v="http://www.highways.gov.uk/our-road-network/managing-our-roads/improving-our-network/pinch-point-programme/"/>
    <s v="Highways Agency Pinchpoint Programme"/>
    <m/>
    <m/>
    <n v="0.4"/>
    <n v="1.6617790811339199"/>
    <n v="19.569527942695817"/>
    <n v="0"/>
    <n v="0"/>
    <n v="0"/>
    <n v="21.631307023829738"/>
    <n v="0"/>
    <n v="21.231307023829739"/>
  </r>
  <r>
    <x v="4"/>
    <s v="Roads - HA pinchpoints"/>
    <s v="Pinchpoint schemes"/>
    <s v="Pinchpoints Tranches 1, 2 and 3"/>
    <n v="17"/>
    <m/>
    <m/>
    <s v="West Midlands"/>
    <s v="Public"/>
    <s v="No"/>
    <s v="Public"/>
    <s v="Active Programme"/>
    <s v="2012/2013"/>
    <s v="2014/15"/>
    <n v="53.9"/>
    <m/>
    <n v="0.8"/>
    <n v="16"/>
    <n v="37.1"/>
    <m/>
    <m/>
    <m/>
    <m/>
    <s v="Nominal"/>
    <m/>
    <s v="http://www.highways.gov.uk/our-road-network/managing-our-roads/improving-our-network/pinch-point-programme/"/>
    <s v="Highways Agency Pinchpoint Programme"/>
    <m/>
    <m/>
    <n v="0.8"/>
    <n v="15.640273704789834"/>
    <n v="35.589680719314458"/>
    <n v="0"/>
    <n v="0"/>
    <n v="0"/>
    <n v="52.02995442410429"/>
    <n v="0"/>
    <n v="51.229954424104292"/>
  </r>
  <r>
    <x v="4"/>
    <s v="Roads - HA pinchpoints"/>
    <s v="Pinchpoint schemes"/>
    <s v="Pinchpoints Tranches 1, 2 and 3"/>
    <n v="14"/>
    <m/>
    <m/>
    <s v="Yorkshire &amp; the Humber"/>
    <s v="Public"/>
    <s v="No"/>
    <s v="Public"/>
    <s v="Active Programme"/>
    <s v="2012/2013"/>
    <s v="2014/15"/>
    <n v="19.2"/>
    <m/>
    <n v="0.2"/>
    <n v="5.9"/>
    <n v="13.1"/>
    <m/>
    <m/>
    <m/>
    <m/>
    <s v="Nominal"/>
    <m/>
    <s v="http://www.highways.gov.uk/our-road-network/managing-our-roads/improving-our-network/pinch-point-programme/"/>
    <s v="Highways Agency Pinchpoint Programme"/>
    <m/>
    <m/>
    <n v="0.2"/>
    <n v="5.7673509286412514"/>
    <n v="12.566706669084081"/>
    <n v="0"/>
    <n v="0"/>
    <n v="0"/>
    <n v="18.534057597725333"/>
    <n v="0"/>
    <n v="18.334057597725334"/>
  </r>
  <r>
    <x v="4"/>
    <s v="Roads - HA pinchpoints"/>
    <s v="Pinchpoint schemes"/>
    <s v="Unallocated funds"/>
    <m/>
    <m/>
    <m/>
    <s v="UK"/>
    <s v="Public"/>
    <s v="No"/>
    <s v="Public"/>
    <s v="Scoping"/>
    <s v="2014/15"/>
    <s v="2015/16"/>
    <n v="228.3"/>
    <m/>
    <m/>
    <m/>
    <n v="28.3"/>
    <n v="200"/>
    <m/>
    <m/>
    <m/>
    <s v="Nominal"/>
    <m/>
    <s v="http://www.highways.gov.uk/our-road-network/managing-our-roads/improving-our-network/pinch-point-programme/"/>
    <s v="Highways Agency Pinchpoint Programme"/>
    <m/>
    <m/>
    <n v="0"/>
    <n v="0"/>
    <n v="27.147923567563318"/>
    <n v="188.46573387549421"/>
    <n v="0"/>
    <n v="0"/>
    <n v="215.61365744305752"/>
    <n v="0"/>
    <n v="215.61365744305752"/>
  </r>
  <r>
    <x v="4"/>
    <s v="Roads - HA Renewals"/>
    <s v="HA renewals"/>
    <s v="Highway Agency capital renewals"/>
    <m/>
    <m/>
    <s v="Does not include maintenance"/>
    <s v="England"/>
    <s v="Public"/>
    <s v="No"/>
    <s v="Public"/>
    <s v="Active Programme"/>
    <n v="2011"/>
    <n v="2015"/>
    <n v="1561.3"/>
    <m/>
    <n v="393.8"/>
    <n v="386.3"/>
    <n v="383.8"/>
    <m/>
    <m/>
    <m/>
    <s v="Estimated"/>
    <s v="Nominal"/>
    <m/>
    <s v="http://www.highways.gov.uk/"/>
    <s v="Highways Agency estimates supplied to ERG"/>
    <s v="Does not include maintenance - figures in annual report do"/>
    <m/>
    <n v="393.8"/>
    <n v="377.61485826001956"/>
    <n v="368.17572668660074"/>
    <n v="0"/>
    <n v="0"/>
    <n v="0"/>
    <n v="1139.5905849466203"/>
    <n v="0"/>
    <n v="745.79058494662036"/>
  </r>
  <r>
    <x v="4"/>
    <s v="Roads - HA Renewals"/>
    <s v="HA renewals"/>
    <m/>
    <m/>
    <s v="M25DBFO M4 Elevated Piers"/>
    <s v="Structures - Bridge/Large Culv"/>
    <s v="South East"/>
    <s v="Public"/>
    <s v="No"/>
    <s v="Public"/>
    <s v="In Construction"/>
    <n v="2013"/>
    <n v="2015"/>
    <n v="10"/>
    <m/>
    <m/>
    <n v="5.3010000000000002"/>
    <n v="4.6989999999999998"/>
    <m/>
    <m/>
    <m/>
    <s v="Estimated"/>
    <s v="Nominal"/>
    <m/>
    <s v="http://www.highways.gov.uk/"/>
    <s v="HA"/>
    <m/>
    <m/>
    <n v="0"/>
    <n v="5.1818181818181825"/>
    <n v="4.5077064609180217"/>
    <n v="0"/>
    <n v="0"/>
    <n v="0"/>
    <n v="9.6895246427362043"/>
    <n v="0"/>
    <n v="9.6895246427362043"/>
  </r>
  <r>
    <x v="4"/>
    <s v="Roads - HA Renewals"/>
    <s v="HA renewals"/>
    <m/>
    <m/>
    <s v="M3 J3-4 Drainage Renewal"/>
    <s v="Roads - Drainage"/>
    <s v="South East"/>
    <s v="Public"/>
    <s v="No"/>
    <s v="Public"/>
    <s v="In Construction"/>
    <n v="2013"/>
    <n v="2015"/>
    <n v="5.42"/>
    <m/>
    <n v="1.2290000000000001"/>
    <n v="0.68"/>
    <n v="3.51"/>
    <m/>
    <m/>
    <m/>
    <s v="Estimated"/>
    <s v="Nominal"/>
    <m/>
    <s v="http://www.highways.gov.uk/"/>
    <s v="HA"/>
    <m/>
    <m/>
    <n v="1.2290000000000001"/>
    <n v="0.6647116324535679"/>
    <n v="3.3671099548461925"/>
    <n v="0"/>
    <n v="0"/>
    <n v="0"/>
    <n v="5.2608215872997608"/>
    <n v="0"/>
    <n v="4.0318215872997607"/>
  </r>
  <r>
    <x v="4"/>
    <s v="Roads - HA Renewals"/>
    <s v="HA renewals"/>
    <m/>
    <m/>
    <s v="M5 J13 STROUDWATERI/C BRIDGE C"/>
    <s v="Structures - Bridge and Large Culvert"/>
    <s v="South West"/>
    <s v="Public"/>
    <s v="No"/>
    <s v="Public"/>
    <s v="Scoping"/>
    <n v="2014"/>
    <n v="2014"/>
    <n v="4.68"/>
    <m/>
    <n v="0.114"/>
    <n v="0.35"/>
    <n v="0.39"/>
    <n v="3.6"/>
    <m/>
    <m/>
    <s v="Estimated"/>
    <s v="Nominal"/>
    <m/>
    <s v="http://www.highways.gov.uk/"/>
    <s v="HA"/>
    <m/>
    <m/>
    <n v="0.114"/>
    <n v="0.34213098729227764"/>
    <n v="0.37412332831624362"/>
    <n v="3.3923832097588957"/>
    <n v="0"/>
    <n v="0"/>
    <n v="4.2226375253674169"/>
    <n v="0"/>
    <n v="4.108637525367417"/>
  </r>
  <r>
    <x v="4"/>
    <s v="Roads - HA Renewals"/>
    <s v="HA renewals"/>
    <m/>
    <m/>
    <s v="M5 Piffs Elm Thaumasite Wks C"/>
    <s v="Structures - Bridge/Large Culv"/>
    <s v="South West"/>
    <s v="Public"/>
    <s v="No"/>
    <s v="Public"/>
    <s v="In Construction"/>
    <n v="2013"/>
    <n v="2015"/>
    <n v="4.0999999999999996"/>
    <m/>
    <m/>
    <n v="0.26"/>
    <n v="0.14000000000000001"/>
    <n v="3.57"/>
    <m/>
    <m/>
    <s v="Estimated"/>
    <s v="Nominal"/>
    <m/>
    <s v="http://www.highways.gov.uk/"/>
    <s v="HA"/>
    <m/>
    <m/>
    <n v="0"/>
    <n v="0.2541544477028348"/>
    <n v="0.1343006819596772"/>
    <n v="3.3641133496775715"/>
    <n v="0"/>
    <n v="0"/>
    <n v="3.7525684793400833"/>
    <n v="0"/>
    <n v="3.7525684793400833"/>
  </r>
  <r>
    <x v="4"/>
    <s v="Roads - HA Renewals"/>
    <s v="HA renewals"/>
    <m/>
    <m/>
    <s v="MWS0738 R167 M6 Gravelly Hill"/>
    <s v="Structures - Bridge/Large Culv"/>
    <s v="West Midlands"/>
    <s v="Public"/>
    <s v="No"/>
    <s v="Public"/>
    <s v="In Construction"/>
    <n v="2013"/>
    <n v="2016"/>
    <n v="9.39"/>
    <m/>
    <m/>
    <n v="0.34"/>
    <n v="0.39"/>
    <n v="8.66"/>
    <m/>
    <m/>
    <s v="Estimated"/>
    <s v="Nominal"/>
    <m/>
    <s v="http://www.highways.gov.uk/"/>
    <s v="HA"/>
    <m/>
    <m/>
    <n v="0"/>
    <n v="0.33235581622678395"/>
    <n v="0.37412332831624362"/>
    <n v="8.1605662768088987"/>
    <n v="0"/>
    <n v="0"/>
    <n v="8.8670454213519267"/>
    <n v="0"/>
    <n v="8.8670454213519267"/>
  </r>
  <r>
    <x v="4"/>
    <s v="Roads - HA Renewals"/>
    <s v="HA renewals"/>
    <m/>
    <m/>
    <s v="OD3:A3 CLANFIELD SB LOW TEXT C"/>
    <s v="Roads - Pavement Strengthening"/>
    <s v="South East"/>
    <s v="Public"/>
    <s v="No"/>
    <s v="Public"/>
    <s v="In Construction"/>
    <n v="2011"/>
    <n v="2013"/>
    <n v="10"/>
    <m/>
    <n v="9.6219999999999999"/>
    <m/>
    <m/>
    <m/>
    <m/>
    <m/>
    <s v="Estimated"/>
    <s v="Nominal"/>
    <m/>
    <s v="http://www.highways.gov.uk/"/>
    <s v="HA"/>
    <m/>
    <m/>
    <n v="9.6219999999999999"/>
    <n v="0"/>
    <n v="0"/>
    <n v="0"/>
    <n v="0"/>
    <n v="0"/>
    <n v="9.6219999999999999"/>
    <n v="0"/>
    <n v="0"/>
  </r>
  <r>
    <x v="4"/>
    <s v="Roads - HA Renewals"/>
    <s v="Other"/>
    <s v="Road Network Resurfacing (SR13 allocation)"/>
    <m/>
    <m/>
    <s v="£4bn allocation to the Highways Agency to resurface around 80percent of the strategic road network"/>
    <s v="England"/>
    <s v="Public"/>
    <s v="No"/>
    <s v="Public"/>
    <s v="Scoping"/>
    <n v="2015"/>
    <s v="various"/>
    <n v="4392.17"/>
    <m/>
    <m/>
    <m/>
    <m/>
    <n v="702.17"/>
    <n v="2940"/>
    <n v="750"/>
    <s v="Estimated"/>
    <s v="Nominal"/>
    <m/>
    <s v="http://www.highways.gov.uk/"/>
    <s v="National Roads maintenance SR13"/>
    <s v="Less renewals noted above. Includes allocation fof 80% road resurfacing"/>
    <m/>
    <n v="0"/>
    <n v="0"/>
    <n v="0"/>
    <n v="661.67492177677877"/>
    <n v="2724.1359763714504"/>
    <n v="643.90418319134358"/>
    <n v="661.67492177677877"/>
    <n v="3368.0401595627941"/>
    <n v="4029.7150813395729"/>
  </r>
  <r>
    <x v="4"/>
    <s v="Roads - LA pinchpoints"/>
    <s v="Pinchpoint schemes"/>
    <s v="Local pinchpoint fund"/>
    <n v="2"/>
    <m/>
    <m/>
    <s v="East Midlands"/>
    <s v="Public"/>
    <s v="No"/>
    <s v="Public"/>
    <s v="Active Programme"/>
    <s v="2012/13"/>
    <s v="2015/16"/>
    <n v="20.99"/>
    <n v="14.23"/>
    <m/>
    <n v="6.6980000000000004"/>
    <n v="14.295"/>
    <m/>
    <m/>
    <m/>
    <s v="Estimated"/>
    <m/>
    <m/>
    <s v="https://www.gov.uk/government/organisations/department-for-transport"/>
    <s v="DfT records"/>
    <s v="Totals include LA and third party contributions. Spend profiles assume contributions spend at same profile as DfT contribution"/>
    <m/>
    <n v="0"/>
    <n v="6.6980000000000004"/>
    <n v="14.295"/>
    <n v="0"/>
    <n v="0"/>
    <n v="0"/>
    <n v="20.993000000000002"/>
    <n v="0"/>
    <n v="20.993000000000002"/>
  </r>
  <r>
    <x v="4"/>
    <s v="Roads - LA pinchpoints"/>
    <s v="Pinchpoint schemes"/>
    <s v="Local pinchpoint fund"/>
    <n v="8"/>
    <m/>
    <m/>
    <s v="East of England"/>
    <s v="Public"/>
    <s v="No"/>
    <s v="Public"/>
    <s v="Active Programme"/>
    <s v="2012/13"/>
    <s v="2015/16"/>
    <n v="87.79"/>
    <n v="75.628"/>
    <m/>
    <n v="8.89"/>
    <n v="78.900000000000006"/>
    <m/>
    <m/>
    <m/>
    <s v="Estimated"/>
    <m/>
    <m/>
    <s v="https://www.gov.uk/government/organisations/department-for-transport"/>
    <s v="DfT records"/>
    <s v="Totals include LA and third party contributions. Spend profiles assume contributions spend at same profile as DfT contribution"/>
    <m/>
    <n v="0"/>
    <n v="8.89"/>
    <n v="78.900000000000006"/>
    <n v="0"/>
    <n v="0"/>
    <n v="0"/>
    <n v="87.79"/>
    <n v="0"/>
    <n v="87.79"/>
  </r>
  <r>
    <x v="4"/>
    <s v="Roads - LA pinchpoints"/>
    <s v="Pinchpoint schemes"/>
    <s v="Local pinchpoint fund"/>
    <m/>
    <m/>
    <m/>
    <s v="London"/>
    <s v="Public"/>
    <s v="No"/>
    <s v="Public"/>
    <s v="Active Programme"/>
    <s v="2012/13"/>
    <s v="2015/16"/>
    <n v="17.100000000000001"/>
    <n v="5.649"/>
    <m/>
    <n v="3.6640000000000001"/>
    <n v="13.435"/>
    <m/>
    <m/>
    <m/>
    <s v="Estimated"/>
    <m/>
    <m/>
    <m/>
    <m/>
    <m/>
    <m/>
    <n v="0"/>
    <n v="3.6640000000000001"/>
    <n v="13.435"/>
    <n v="0"/>
    <n v="0"/>
    <n v="0"/>
    <n v="17.099"/>
    <n v="0"/>
    <n v="17.099"/>
  </r>
  <r>
    <x v="4"/>
    <s v="Roads - LA pinchpoints"/>
    <s v="Pinchpoint schemes"/>
    <s v="Local pinchpoint fund"/>
    <n v="7"/>
    <m/>
    <m/>
    <s v="North East"/>
    <s v="Public"/>
    <s v="No"/>
    <s v="Public"/>
    <s v="Active Programme"/>
    <s v="2012/13"/>
    <s v="2015/16"/>
    <n v="28.09"/>
    <n v="26.486999999999998"/>
    <m/>
    <n v="5.8949999999999996"/>
    <n v="22.19"/>
    <m/>
    <m/>
    <m/>
    <s v="Estimated"/>
    <m/>
    <m/>
    <s v="https://www.gov.uk/government/organisations/department-for-transport"/>
    <s v="DfT records"/>
    <s v="Totals include LA and third party contributions. Spend profiles assume contributions spend at same profile as DfT contribution"/>
    <m/>
    <n v="0"/>
    <n v="5.8949999999999996"/>
    <n v="22.19"/>
    <n v="0"/>
    <n v="0"/>
    <n v="0"/>
    <n v="28.085000000000001"/>
    <n v="0"/>
    <n v="28.085000000000001"/>
  </r>
  <r>
    <x v="4"/>
    <s v="Roads - LA pinchpoints"/>
    <s v="Pinchpoint schemes"/>
    <s v="Local pinchpoint fund"/>
    <n v="11"/>
    <m/>
    <m/>
    <s v="North West"/>
    <s v="Public"/>
    <s v="No"/>
    <s v="Public"/>
    <s v="Active Programme"/>
    <s v="2012/13"/>
    <s v="2015/16"/>
    <n v="32.299999999999997"/>
    <n v="27.79"/>
    <m/>
    <n v="15.503"/>
    <n v="16.8"/>
    <m/>
    <m/>
    <m/>
    <s v="Estimated"/>
    <m/>
    <m/>
    <s v="https://www.gov.uk/government/organisations/department-for-transport"/>
    <s v="DfT records"/>
    <s v="Totals include LA and third party contributions. Spend profiles assume contributions spend at same profile as DfT contribution"/>
    <m/>
    <n v="0"/>
    <n v="15.503"/>
    <n v="16.8"/>
    <n v="0"/>
    <n v="0"/>
    <n v="0"/>
    <n v="32.302999999999997"/>
    <n v="0"/>
    <n v="32.302999999999997"/>
  </r>
  <r>
    <x v="4"/>
    <s v="Roads - LA pinchpoints"/>
    <s v="Pinchpoint schemes"/>
    <s v="Local pinchpoint fund"/>
    <n v="17"/>
    <m/>
    <m/>
    <s v="South East"/>
    <s v="Public"/>
    <s v="No"/>
    <s v="Public"/>
    <s v="Active Programme"/>
    <s v="2012/13"/>
    <s v="2015/16"/>
    <n v="75.86"/>
    <n v="63.040000000000006"/>
    <m/>
    <n v="21.024999999999999"/>
    <n v="54.838000000000001"/>
    <m/>
    <m/>
    <m/>
    <s v="Estimated"/>
    <m/>
    <m/>
    <s v="https://www.gov.uk/government/organisations/department-for-transport"/>
    <s v="DfT records"/>
    <s v="Totals include LA and third party contributions. Spend profiles assume contributions spend at same profile as DfT contribution"/>
    <m/>
    <n v="0"/>
    <n v="21.024999999999999"/>
    <n v="54.838000000000001"/>
    <n v="0"/>
    <n v="0"/>
    <n v="0"/>
    <n v="75.863"/>
    <n v="0"/>
    <n v="75.863"/>
  </r>
  <r>
    <x v="4"/>
    <s v="Roads - LA pinchpoints"/>
    <s v="Pinchpoint schemes"/>
    <s v="Local pinchpoint fund"/>
    <n v="12"/>
    <m/>
    <m/>
    <s v="South West"/>
    <s v="Public"/>
    <s v="No"/>
    <s v="Public"/>
    <s v="Active Programme"/>
    <s v="2012/13"/>
    <s v="2015/16"/>
    <n v="42.96"/>
    <n v="34.471000000000004"/>
    <m/>
    <n v="14.032999999999999"/>
    <n v="28.925000000000001"/>
    <m/>
    <m/>
    <m/>
    <s v="Estimated"/>
    <m/>
    <m/>
    <s v="https://www.gov.uk/government/organisations/department-for-transport"/>
    <s v="DfT records"/>
    <s v="Totals include LA and third party contributions. Spend profiles assume contributions spend at same profile as DfT contribution"/>
    <m/>
    <n v="0"/>
    <n v="14.032999999999999"/>
    <n v="28.925000000000001"/>
    <n v="0"/>
    <n v="0"/>
    <n v="0"/>
    <n v="42.957999999999998"/>
    <n v="0"/>
    <n v="42.957999999999998"/>
  </r>
  <r>
    <x v="4"/>
    <s v="Roads - LA pinchpoints"/>
    <s v="Pinchpoint schemes"/>
    <s v="Local pinchpoint fund"/>
    <n v="10"/>
    <m/>
    <m/>
    <s v="West Midlands"/>
    <s v="Public"/>
    <s v="No"/>
    <s v="Public"/>
    <s v="Active Programme"/>
    <s v="2012/13"/>
    <s v="2015/16"/>
    <n v="70.459999999999994"/>
    <n v="65.108000000000004"/>
    <m/>
    <n v="26.228000000000002"/>
    <n v="44.234999999999999"/>
    <m/>
    <m/>
    <m/>
    <s v="Estimated"/>
    <m/>
    <m/>
    <s v="https://www.gov.uk/government/organisations/department-for-transport"/>
    <s v="DfT records"/>
    <s v="Totals include LA and third party contributions. Spend profiles assume contributions spend at same profile as DfT contribution"/>
    <m/>
    <n v="0"/>
    <n v="26.228000000000002"/>
    <n v="44.234999999999999"/>
    <n v="0"/>
    <n v="0"/>
    <n v="0"/>
    <n v="70.462999999999994"/>
    <n v="0"/>
    <n v="70.462999999999994"/>
  </r>
  <r>
    <x v="4"/>
    <s v="Roads - LA pinchpoints"/>
    <s v="Pinchpoint schemes"/>
    <s v="Local pinchpoint fund"/>
    <n v="12"/>
    <m/>
    <m/>
    <s v="Yorkshire &amp; the Humber"/>
    <s v="Public"/>
    <s v="No"/>
    <s v="Public"/>
    <s v="Active Programme"/>
    <s v="2012/13"/>
    <s v="2015/16"/>
    <n v="41.73"/>
    <n v="36.289000000000001"/>
    <m/>
    <n v="11.1"/>
    <n v="30.632000000000001"/>
    <m/>
    <m/>
    <m/>
    <s v="Estimated"/>
    <m/>
    <m/>
    <s v="https://www.gov.uk/government/organisations/department-for-transport"/>
    <s v="DfT records"/>
    <s v="Totals include LA and third party contributions. Spend profiles assume contributions spend at same profile as DfT contribution"/>
    <m/>
    <n v="0"/>
    <n v="11.1"/>
    <n v="30.632000000000001"/>
    <n v="0"/>
    <n v="0"/>
    <n v="0"/>
    <n v="41.731999999999999"/>
    <n v="0"/>
    <n v="41.731999999999999"/>
  </r>
  <r>
    <x v="4"/>
    <s v="Roads - LA pinchpoints"/>
    <s v="Pinchpoint schemes"/>
    <s v="Local pinchpoint fund - unallocated funds"/>
    <m/>
    <m/>
    <m/>
    <s v="England"/>
    <s v="Public"/>
    <s v="No"/>
    <s v="Public"/>
    <s v="Active Programme"/>
    <s v="2013/14"/>
    <s v="2014/15"/>
    <n v="53.17"/>
    <m/>
    <m/>
    <n v="47.963000000000001"/>
    <n v="5.21"/>
    <m/>
    <m/>
    <m/>
    <s v="Estimated"/>
    <m/>
    <m/>
    <s v="https://www.gov.uk/government/organisations/department-for-transport"/>
    <s v="DfT records"/>
    <s v="Unallocated DfT spend only."/>
    <m/>
    <n v="0"/>
    <n v="47.963000000000001"/>
    <n v="5.21"/>
    <n v="0"/>
    <n v="0"/>
    <n v="0"/>
    <n v="53.173000000000002"/>
    <n v="0"/>
    <n v="53.173000000000002"/>
  </r>
  <r>
    <x v="4"/>
    <s v="Roads- LA Majors"/>
    <s v="Other"/>
    <m/>
    <m/>
    <s v="A6 to Manchester Airport Relief Road"/>
    <s v="6.2 miles of new dual carriageway from the A6 south east of Stockport to Manchester Airport link road including 2.5 miles of the existing A555"/>
    <s v="North West"/>
    <s v="Public"/>
    <s v="No"/>
    <s v="Public/Private"/>
    <s v="Scoping"/>
    <n v="2015"/>
    <n v="2017"/>
    <n v="230"/>
    <n v="165"/>
    <m/>
    <m/>
    <n v="79.599999999999994"/>
    <n v="51.7"/>
    <n v="33.700000000000003"/>
    <m/>
    <s v="Estimated"/>
    <s v="Nominal"/>
    <m/>
    <s v="http://www.stockport.gov.uk/"/>
    <s v="DfT records"/>
    <s v="Funding comes from DfT and LA. Cash profile represents DfT grant only."/>
    <s v="Yes"/>
    <n v="0"/>
    <n v="0"/>
    <n v="76.359530599930736"/>
    <n v="48.718392206815253"/>
    <n v="31.225640273373433"/>
    <n v="0"/>
    <n v="125.07792280674599"/>
    <n v="31.225640273373433"/>
    <n v="156.30356308011943"/>
  </r>
  <r>
    <x v="4"/>
    <s v="Roads- LA Majors"/>
    <s v="Other"/>
    <s v="Highways Maintenance Block Funding (SR10 allocation)"/>
    <m/>
    <m/>
    <s v="DfT capital funding provided to local highway authorities outside of London for highways maintenance, allocated by formula"/>
    <s v="England"/>
    <s v="Public"/>
    <s v="No"/>
    <s v="Public"/>
    <s v="Active Programme"/>
    <s v="various"/>
    <s v="various"/>
    <n v="3042"/>
    <m/>
    <n v="779"/>
    <n v="890"/>
    <n v="782"/>
    <m/>
    <m/>
    <m/>
    <s v="Confirmed"/>
    <s v="Nominal"/>
    <m/>
    <s v="www.dft.gov.uk"/>
    <s v="DfT records"/>
    <s v="This entry relates to the highways maintenance  Block for 2011/12 to 2014/15 which is capital grant allocated to authorities by formula and not ring-fenced. Includes SR10 allocation and additional £140 13/14 and £75m 14/15"/>
    <m/>
    <n v="779"/>
    <n v="869.99022482893452"/>
    <n v="750.16523780333978"/>
    <n v="0"/>
    <n v="0"/>
    <n v="0"/>
    <n v="2399.1554626322741"/>
    <n v="0"/>
    <n v="1620.1554626322741"/>
  </r>
  <r>
    <x v="4"/>
    <s v="Roads- LA Majors"/>
    <s v="Other"/>
    <s v="Highways Maintenance Block Funding (SR13 allocation)"/>
    <m/>
    <m/>
    <s v="£6bn to help local authorities repair the local road network"/>
    <s v="England"/>
    <s v="Public"/>
    <s v="No"/>
    <s v="Public"/>
    <s v="Scoping"/>
    <s v="TBC"/>
    <s v="TBC"/>
    <n v="5856"/>
    <m/>
    <m/>
    <m/>
    <m/>
    <n v="976"/>
    <n v="3904"/>
    <n v="976"/>
    <s v="Confirmed"/>
    <s v="Nominal"/>
    <m/>
    <s v="www.dft.gov.uk"/>
    <s v="LA Maintenance SR13"/>
    <m/>
    <m/>
    <n v="0"/>
    <n v="0"/>
    <n v="0"/>
    <n v="919.71278131241172"/>
    <n v="3617.3560720252185"/>
    <n v="837.93397705966834"/>
    <n v="919.71278131241172"/>
    <n v="4455.290049084887"/>
    <n v="5375.0028303972986"/>
  </r>
  <r>
    <x v="4"/>
    <s v="Roads- LA Majors"/>
    <s v="Other"/>
    <s v="Integrated Transport Block"/>
    <m/>
    <m/>
    <s v="DfT capital funding for local authority small scale transport schemes outside of London, allocated by formula"/>
    <s v="England"/>
    <s v="Public"/>
    <s v="No"/>
    <s v="Public"/>
    <s v="Active Programme"/>
    <s v="various"/>
    <s v="various"/>
    <n v="4188"/>
    <m/>
    <n v="320"/>
    <n v="320"/>
    <n v="450"/>
    <n v="258"/>
    <n v="1032"/>
    <n v="258"/>
    <s v="Confirmed"/>
    <s v="Nominal"/>
    <m/>
    <s v="www.dft.gov.uk"/>
    <s v="SR13"/>
    <s v="balance moved to Single Local Growth Fund"/>
    <m/>
    <n v="320"/>
    <n v="312.80547409579668"/>
    <n v="431.68076344181952"/>
    <n v="243.12079669938751"/>
    <n v="956.22732231814177"/>
    <n v="221.50303901782218"/>
    <n v="1307.6070342370035"/>
    <n v="1177.7303613359641"/>
    <n v="2165.3373955729676"/>
  </r>
  <r>
    <x v="4"/>
    <s v="Roads- LA Majors"/>
    <s v="Other"/>
    <s v="Single Local Growth Fund - Transport"/>
    <m/>
    <m/>
    <s v="Funding allocated in Investing in Britain's Future"/>
    <s v="England"/>
    <s v="Public"/>
    <s v="No"/>
    <s v="Public"/>
    <s v="Scoping"/>
    <s v="various"/>
    <s v="various"/>
    <n v="6214"/>
    <m/>
    <m/>
    <m/>
    <m/>
    <n v="1030.7"/>
    <n v="3825.3100000000004"/>
    <n v="1019"/>
    <s v="Confirmed"/>
    <s v="Nominal"/>
    <m/>
    <s v="https://www.gov.uk/government/organisations/department-for-communities-and-local-government"/>
    <s v="Investing in Britains Future"/>
    <s v="Single Local Growth Fund includes the local majors, local sustainable transport fund and the integrated transport block, less projects identified elsewhere on the pipeline"/>
    <m/>
    <n v="0"/>
    <n v="0"/>
    <n v="0"/>
    <n v="971.25815952735934"/>
    <n v="3544.4437386984609"/>
    <n v="874.8511502293054"/>
    <n v="971.25815952735934"/>
    <n v="4419.2948889277668"/>
    <n v="5390.5530484551264"/>
  </r>
  <r>
    <x v="4"/>
    <s v="Roads- LA Majors"/>
    <s v="Other"/>
    <s v="Local Authority Major Schemes - Committed and Approved"/>
    <m/>
    <m/>
    <s v="DfT capital funding for large transport capital projects promoted by Local Authorities outside of London"/>
    <s v="England"/>
    <s v="Public"/>
    <s v="No"/>
    <s v="Public"/>
    <s v="Active Programme"/>
    <s v="various"/>
    <s v="various"/>
    <n v="1007.4"/>
    <m/>
    <n v="359"/>
    <n v="253.57999999999998"/>
    <n v="294.95000000000005"/>
    <m/>
    <m/>
    <m/>
    <s v="Confirmed"/>
    <s v="Nominal"/>
    <m/>
    <s v="www.dft.gov.uk"/>
    <s v="DfT records"/>
    <s v="This entry relates to those schemes that were either in construction and/or have a live funding approval (Full, Conditional or Programme Entry) including schemes that were in the Development Pool. The total publicly funded investment is the DfT funding provided and does not include the local authority contribution.  SR13 Local Majors are moved to the the SIngle Local Growth Fund. Figures exclude named schemes listed elsewhere in the pipeline"/>
    <m/>
    <n v="359"/>
    <n v="247.87878787878788"/>
    <n v="282.94275817147707"/>
    <n v="0"/>
    <n v="0"/>
    <n v="0"/>
    <n v="889.82154605026494"/>
    <n v="0"/>
    <n v="530.82154605026494"/>
  </r>
  <r>
    <x v="4"/>
    <s v="Roads- LA Majors"/>
    <s v="Other"/>
    <m/>
    <m/>
    <s v="Manchester Metrolink Extensions"/>
    <m/>
    <s v="North West"/>
    <s v="Public"/>
    <s v="No"/>
    <s v="Public"/>
    <s v="In Construction"/>
    <n v="2008"/>
    <s v="Late 2013"/>
    <n v="1500"/>
    <m/>
    <m/>
    <m/>
    <m/>
    <m/>
    <m/>
    <m/>
    <s v="Estimated"/>
    <s v="Nominal"/>
    <m/>
    <s v="www.metrolink.co.uk/FUTUREMETROLINK/Pages/default.aspx"/>
    <s v="www.metrolink.co.uk/FUTUREMETROLINK/Pages/default.aspx"/>
    <m/>
    <s v="Yes"/>
    <n v="0"/>
    <n v="0"/>
    <n v="0"/>
    <n v="0"/>
    <n v="0"/>
    <n v="0"/>
    <n v="0"/>
    <n v="0"/>
    <n v="0"/>
  </r>
  <r>
    <x v="4"/>
    <s v="Roads- LA Majors"/>
    <s v="Other"/>
    <m/>
    <m/>
    <s v="Nottingham NET2"/>
    <m/>
    <s v="East Midlands"/>
    <s v="Public"/>
    <s v="No"/>
    <s v="Public"/>
    <s v="In Construction"/>
    <n v="2012"/>
    <n v="2014"/>
    <n v="580"/>
    <n v="580"/>
    <n v="237.9"/>
    <n v="162.30000000000001"/>
    <n v="49.5"/>
    <m/>
    <m/>
    <m/>
    <s v="Estimated"/>
    <s v="Nominal"/>
    <m/>
    <s v="www.thetram.net/"/>
    <s v=" HMT PFI 6-monthly return (updated by LA)"/>
    <m/>
    <s v="Yes"/>
    <n v="237.9"/>
    <n v="158.65102639296191"/>
    <n v="47.484883978600152"/>
    <n v="0"/>
    <n v="0"/>
    <n v="0"/>
    <n v="444.03591037156207"/>
    <n v="0"/>
    <n v="206.13591037156206"/>
  </r>
  <r>
    <x v="4"/>
    <s v="Roads- LA Majors"/>
    <s v="Other"/>
    <m/>
    <m/>
    <s v="Leeds New Generation Transport"/>
    <m/>
    <s v="Yorkshire &amp; the Humber"/>
    <s v="Public"/>
    <s v="No"/>
    <s v="Public"/>
    <s v="Scoping"/>
    <n v="2017"/>
    <n v="2020"/>
    <n v="250"/>
    <m/>
    <m/>
    <m/>
    <m/>
    <m/>
    <n v="173.5"/>
    <m/>
    <s v="Estimated"/>
    <s v="Nominal"/>
    <m/>
    <s v="www.ngtmetro.com/"/>
    <s v="DfT records"/>
    <m/>
    <s v="Yes"/>
    <n v="0"/>
    <n v="0"/>
    <n v="0"/>
    <n v="0"/>
    <n v="160.76108568042403"/>
    <n v="0"/>
    <n v="0"/>
    <n v="160.76108568042403"/>
    <n v="160.76108568042403"/>
  </r>
  <r>
    <x v="4"/>
    <s v="Roads- LA Majors"/>
    <s v="Other"/>
    <m/>
    <m/>
    <s v="Norwich Northern Distributor Road"/>
    <m/>
    <s v="East of England"/>
    <s v="Public"/>
    <s v="No"/>
    <s v="Public"/>
    <s v="Scoping"/>
    <n v="2015"/>
    <n v="2017"/>
    <n v="111.1"/>
    <m/>
    <m/>
    <n v="4"/>
    <n v="20"/>
    <n v="19"/>
    <n v="43.49"/>
    <m/>
    <s v="Estimated"/>
    <s v="Nominal"/>
    <m/>
    <s v="www.norfolk.gov.uk/Travel_and_transport/Transport_future_for_Norfolk/Transport_for_Norwich/Northern_Distributor_Road_and_Postwick_Junction/index.htm"/>
    <s v="DfT records"/>
    <m/>
    <s v="Yes"/>
    <n v="0"/>
    <n v="3.9100684261974585"/>
    <n v="19.185811708525314"/>
    <n v="17.904244718171949"/>
    <n v="40.296827759317821"/>
    <n v="0"/>
    <n v="41.000124852894722"/>
    <n v="40.296827759317821"/>
    <n v="81.29695261221255"/>
  </r>
  <r>
    <x v="4"/>
    <s v="Roads- LA Majors"/>
    <s v="Other"/>
    <m/>
    <m/>
    <s v="Sunderland Strategic Corridor"/>
    <m/>
    <s v="North East"/>
    <s v="Public"/>
    <s v="No"/>
    <s v="Public"/>
    <s v="Scoping"/>
    <s v="TBC"/>
    <s v="TBC"/>
    <n v="117.6"/>
    <m/>
    <m/>
    <m/>
    <n v="36.9"/>
    <n v="17.600000000000001"/>
    <m/>
    <m/>
    <s v="Estimated"/>
    <s v="Nominal"/>
    <m/>
    <s v="https://www.gov.uk/government/publications/sunderland-strategic-transport-corridor-new-wear-bridge"/>
    <s v="DfT records"/>
    <m/>
    <s v="Yes"/>
    <n v="0"/>
    <n v="0"/>
    <n v="35.397822602229205"/>
    <n v="16.584984581043493"/>
    <n v="0"/>
    <n v="0"/>
    <n v="51.982807183272698"/>
    <n v="0"/>
    <n v="51.982807183272698"/>
  </r>
  <r>
    <x v="4"/>
    <s v="Roads- LA Majors"/>
    <s v="Other"/>
    <m/>
    <m/>
    <s v="Kingskerswell By-pass (Devon/Torbay A380)"/>
    <m/>
    <s v="South West"/>
    <s v="Public"/>
    <s v="No"/>
    <s v="Public"/>
    <s v="In Construction"/>
    <n v="2012"/>
    <n v="2015"/>
    <n v="107.8"/>
    <m/>
    <m/>
    <n v="44.246000000000002"/>
    <n v="16.154"/>
    <m/>
    <m/>
    <m/>
    <s v="Estimated"/>
    <s v="Nominal"/>
    <m/>
    <s v="http://www.devon.gov.uk/kingskerswellbypass.htm"/>
    <s v="DfT records"/>
    <m/>
    <s v="Yes"/>
    <n v="0"/>
    <n v="43.251221896383193"/>
    <n v="15.496380116975896"/>
    <n v="0"/>
    <n v="0"/>
    <n v="0"/>
    <n v="58.747602013359085"/>
    <n v="0"/>
    <n v="58.747602013359085"/>
  </r>
  <r>
    <x v="4"/>
    <s v="Roads- LA Majors"/>
    <s v="Other"/>
    <m/>
    <m/>
    <s v="Midland Metro "/>
    <m/>
    <s v="West Midlands"/>
    <s v="Public"/>
    <s v="No"/>
    <s v="Public"/>
    <s v="In Construction"/>
    <n v="2012"/>
    <n v="2015"/>
    <n v="128.6"/>
    <m/>
    <m/>
    <n v="26.167000000000002"/>
    <m/>
    <m/>
    <m/>
    <m/>
    <s v="Estimated"/>
    <s v="Nominal"/>
    <m/>
    <s v="http://nxbus.co.uk/the-metro/"/>
    <s v="DfT records"/>
    <m/>
    <s v="Yes"/>
    <n v="0"/>
    <n v="25.578690127077227"/>
    <n v="0"/>
    <n v="0"/>
    <n v="0"/>
    <n v="0"/>
    <n v="25.578690127077227"/>
    <n v="0"/>
    <n v="25.578690127077227"/>
  </r>
  <r>
    <x v="4"/>
    <s v="Roads- LA Majors"/>
    <s v="Other"/>
    <m/>
    <m/>
    <s v="Croxley Rail Link (Watford)"/>
    <m/>
    <s v="East of England"/>
    <s v="Public"/>
    <s v="No"/>
    <s v="Public"/>
    <s v="Scoping"/>
    <n v="2014"/>
    <n v="2016"/>
    <n v="115.9"/>
    <m/>
    <m/>
    <n v="14.65"/>
    <n v="36.99"/>
    <n v="24.6"/>
    <m/>
    <m/>
    <s v="Estimated"/>
    <s v="Nominal"/>
    <m/>
    <s v="www.croxleyraillink.com/"/>
    <s v="DfT records"/>
    <m/>
    <s v="Yes"/>
    <n v="0"/>
    <n v="14.320625610948191"/>
    <n v="35.484158754917566"/>
    <n v="23.181285266685787"/>
    <n v="0"/>
    <n v="0"/>
    <n v="72.986069632551548"/>
    <n v="0"/>
    <n v="72.986069632551548"/>
  </r>
  <r>
    <x v="4"/>
    <s v="Roads- LA Majors"/>
    <s v="Other"/>
    <s v="Local Authority Major Schemes - Development Pool"/>
    <m/>
    <m/>
    <s v="DfT capital funding for large transport capital projects promoted by Local Authorities outside of London"/>
    <s v="England"/>
    <s v="Public"/>
    <s v="No"/>
    <s v="Public"/>
    <s v="Active Programme"/>
    <s v="various"/>
    <s v="various"/>
    <m/>
    <m/>
    <m/>
    <m/>
    <m/>
    <m/>
    <m/>
    <m/>
    <s v="Confirmed"/>
    <s v="Nominal"/>
    <m/>
    <s v="www.dft.gov.uk"/>
    <s v="DfT records"/>
    <s v="This programme is no longer active"/>
    <m/>
    <n v="0"/>
    <n v="0"/>
    <n v="0"/>
    <n v="0"/>
    <n v="0"/>
    <n v="0"/>
    <n v="0"/>
    <n v="0"/>
    <n v="0"/>
  </r>
  <r>
    <x v="4"/>
    <s v="Roads- LA Majors"/>
    <s v="Other"/>
    <s v="Local Sustainable Transport Fund (SR10)"/>
    <m/>
    <m/>
    <s v="DfT bid-based funding pot (capital and resource) for sustainable transport schemes  promoted by local authorities outside of London"/>
    <s v="England"/>
    <s v="Public"/>
    <s v="No"/>
    <s v="Public"/>
    <s v="Active Programme"/>
    <n v="2011"/>
    <s v="various"/>
    <n v="271.5"/>
    <m/>
    <n v="101.2"/>
    <n v="84.4"/>
    <n v="52.9"/>
    <m/>
    <m/>
    <m/>
    <s v="Confirmed"/>
    <s v="Nominal"/>
    <m/>
    <s v="www.dft.gov.uk"/>
    <s v="DfT records"/>
    <m/>
    <m/>
    <n v="101.2"/>
    <n v="82.502443792766371"/>
    <n v="50.746471969049452"/>
    <n v="0"/>
    <n v="0"/>
    <n v="0"/>
    <n v="234.44891576181581"/>
    <n v="0"/>
    <n v="133.24891576181579"/>
  </r>
  <r>
    <x v="4"/>
    <s v="Roads- LA Majors"/>
    <s v="Other"/>
    <m/>
    <m/>
    <s v="Mersey Gateway"/>
    <s v="Construction of new crossing over River Mersey between Runcorn and Widnes, involves tolling new and existing bridge"/>
    <s v="North West"/>
    <s v="Public"/>
    <s v="No"/>
    <s v="Public/Private"/>
    <s v="Planning &amp; Consents"/>
    <n v="2014"/>
    <n v="2017"/>
    <n v="589"/>
    <m/>
    <m/>
    <n v="180"/>
    <n v="165"/>
    <n v="150"/>
    <n v="100"/>
    <m/>
    <s v="Bid"/>
    <s v="Nominal"/>
    <m/>
    <s v="http://www.merseygateway.co.uk/"/>
    <s v="DfT records"/>
    <m/>
    <s v="Yes"/>
    <n v="0"/>
    <n v="175.95307917888564"/>
    <n v="158.28294659533384"/>
    <n v="141.34930040662064"/>
    <n v="92.657686271137777"/>
    <n v="0"/>
    <n v="475.58532618084007"/>
    <n v="92.657686271137777"/>
    <n v="568.24301245197785"/>
  </r>
  <r>
    <x v="5"/>
    <s v="PFI Projects"/>
    <s v="PFI Projects"/>
    <m/>
    <m/>
    <s v="Barnsley Doncaster Rotherham (BDR)"/>
    <s v="South Yorks Waste PFI"/>
    <s v="Yorkshire &amp; the Humber"/>
    <s v="Public"/>
    <s v="No"/>
    <s v="Public"/>
    <s v="In Construction"/>
    <n v="2012"/>
    <n v="2015"/>
    <n v="87.4"/>
    <m/>
    <n v="15.1"/>
    <n v="49.6"/>
    <n v="22.6"/>
    <n v="0.1"/>
    <m/>
    <m/>
    <s v="Estimated"/>
    <s v="Nominal"/>
    <m/>
    <s v="https://www.gov.uk/government/policies/reducing-and-managing-waste/supporting-pages/waste-infrastructure-delivery-programme"/>
    <s v="WIDP Reporting and from Authority direct"/>
    <m/>
    <m/>
    <n v="15.1"/>
    <n v="48.484848484848484"/>
    <n v="21.679967230633604"/>
    <n v="9.4232866937747101E-2"/>
    <n v="0"/>
    <n v="0"/>
    <n v="85.359048582419831"/>
    <n v="0"/>
    <n v="70.259048582419837"/>
  </r>
  <r>
    <x v="5"/>
    <s v="PFI Projects"/>
    <s v="PFI Projects"/>
    <m/>
    <m/>
    <s v="Cornwall"/>
    <s v="Waste Management Procurement"/>
    <s v="South West"/>
    <s v="Public"/>
    <s v="No"/>
    <s v="Public"/>
    <s v="In Construction"/>
    <n v="2013"/>
    <n v="2016"/>
    <n v="176"/>
    <n v="45"/>
    <n v="95"/>
    <n v="10"/>
    <n v="6"/>
    <m/>
    <m/>
    <m/>
    <s v="Bid"/>
    <s v="Nominal"/>
    <m/>
    <s v="https://www.gov.uk/government/policies/reducing-and-managing-waste/supporting-pages/waste-infrastructure-delivery-programme"/>
    <s v="WIDP Reporting and from Authority direct"/>
    <m/>
    <m/>
    <n v="95"/>
    <n v="9.7751710654936463"/>
    <n v="5.7557435125575935"/>
    <n v="0"/>
    <n v="0"/>
    <n v="0"/>
    <n v="110.53091457805124"/>
    <n v="0"/>
    <n v="15.530914578051238"/>
  </r>
  <r>
    <x v="5"/>
    <s v="PFI Projects"/>
    <s v="PFI Projects"/>
    <m/>
    <m/>
    <s v="Essex County Council &amp; Southend Borough Council"/>
    <s v="Essex County Council and Southend-on-Sea Waste Management Project"/>
    <s v="East of England"/>
    <s v="Public"/>
    <s v="No"/>
    <s v="Public"/>
    <s v="In Construction"/>
    <n v="2013"/>
    <n v="2015"/>
    <n v="107.2"/>
    <n v="100.9"/>
    <n v="18.3"/>
    <n v="67.8"/>
    <n v="15.9"/>
    <n v="5.2"/>
    <m/>
    <m/>
    <s v="Bid"/>
    <s v="Nominal"/>
    <m/>
    <s v="https://www.gov.uk/government/policies/reducing-and-managing-waste/supporting-pages/waste-infrastructure-delivery-programme"/>
    <s v="WIDP Reporting and from Authority direct"/>
    <m/>
    <m/>
    <n v="18.3"/>
    <n v="66.275659824046926"/>
    <n v="15.252720308277624"/>
    <n v="4.9001090807628493"/>
    <n v="0"/>
    <n v="0"/>
    <n v="104.7284892130874"/>
    <n v="0"/>
    <n v="86.428489213087403"/>
  </r>
  <r>
    <x v="5"/>
    <s v="PFI Projects"/>
    <s v="PFI Projects"/>
    <m/>
    <m/>
    <s v="Greater Manchester Waste Disposal Authority"/>
    <s v="Greater Manchester Waste Disposal "/>
    <s v="North West"/>
    <s v="Public"/>
    <s v="No"/>
    <s v="Public"/>
    <s v="In Construction"/>
    <n v="2009"/>
    <n v="2013"/>
    <n v="637"/>
    <n v="124.5"/>
    <n v="141.494"/>
    <m/>
    <m/>
    <m/>
    <m/>
    <m/>
    <s v="Bid"/>
    <s v="Nominal"/>
    <m/>
    <s v="https://www.gov.uk/government/policies/reducing-and-managing-waste/supporting-pages/waste-infrastructure-delivery-programme"/>
    <s v="WIDP Reporting and from Authority direct"/>
    <m/>
    <m/>
    <n v="141.494"/>
    <n v="0"/>
    <n v="0"/>
    <n v="0"/>
    <n v="0"/>
    <n v="0"/>
    <n v="141.494"/>
    <n v="0"/>
    <n v="0"/>
  </r>
  <r>
    <x v="5"/>
    <s v="PFI Projects"/>
    <s v="PFI Projects"/>
    <m/>
    <m/>
    <s v="Herefordshire &amp; Worcestershire"/>
    <s v="Waste Management Project"/>
    <s v="West Midlands"/>
    <s v="Public"/>
    <s v="No"/>
    <s v="Public"/>
    <s v="Consents Approved"/>
    <n v="2014"/>
    <n v="2015"/>
    <n v="183.3"/>
    <n v="57.4"/>
    <n v="1.2"/>
    <n v="39.6"/>
    <n v="45.4"/>
    <n v="58.8"/>
    <m/>
    <m/>
    <s v="Bid"/>
    <s v="Nominal"/>
    <m/>
    <s v="https://www.gov.uk/government/policies/reducing-and-managing-waste/supporting-pages/waste-infrastructure-delivery-programme"/>
    <s v="WIDP Reporting and from Authority direct"/>
    <m/>
    <m/>
    <n v="1.2"/>
    <n v="38.70967741935484"/>
    <n v="43.551792578352462"/>
    <n v="55.408925759395295"/>
    <n v="0"/>
    <n v="0"/>
    <n v="138.87039575710259"/>
    <n v="0"/>
    <n v="137.6703957571026"/>
  </r>
  <r>
    <x v="5"/>
    <s v="PFI Projects"/>
    <s v="PFI Projects"/>
    <m/>
    <m/>
    <s v="Hertfordshire County Council"/>
    <s v="Hertfordshire County Council Waste Management Services"/>
    <s v="East of England"/>
    <s v="Public"/>
    <s v="No"/>
    <s v="Public"/>
    <s v="Planning &amp; Consents"/>
    <n v="2014"/>
    <n v="2017"/>
    <n v="222.7"/>
    <n v="115.3"/>
    <m/>
    <n v="43.9"/>
    <n v="62.6"/>
    <n v="86.3"/>
    <n v="29.9"/>
    <m/>
    <s v="Bid"/>
    <s v="Nominal"/>
    <m/>
    <s v="https://www.gov.uk/government/policies/reducing-and-managing-waste/supporting-pages/waste-infrastructure-delivery-programme"/>
    <s v="WIDP Reporting and from Authority direct"/>
    <s v="The earliest construction date and the service commencement date is subject to notification of public inquiry date following a decision from the SoS to call in. Different programmes are being worked up dependent on SoS actions so I have not changed this until that action is known. However, best case is that HCC programme slips by 12 months from the dates shown here."/>
    <m/>
    <n v="0"/>
    <n v="42.913000977517108"/>
    <n v="60.051590647684229"/>
    <n v="81.322964167275742"/>
    <n v="27.704648195070195"/>
    <n v="0"/>
    <n v="184.28755579247706"/>
    <n v="27.704648195070195"/>
    <n v="211.99220398754727"/>
  </r>
  <r>
    <x v="5"/>
    <s v="PFI Projects"/>
    <s v="PFI Projects"/>
    <m/>
    <m/>
    <s v="Leeds City Council"/>
    <s v="Leeds Residual Waste Treatment Project "/>
    <s v="Yorkshire &amp; the Humber"/>
    <s v="Public"/>
    <s v="No"/>
    <s v="Public"/>
    <s v="In Construction"/>
    <n v="2013"/>
    <n v="2016"/>
    <n v="158.33000000000001"/>
    <n v="68.599999999999994"/>
    <n v="0.56499999999999995"/>
    <n v="57.86"/>
    <n v="53.8"/>
    <n v="45.25"/>
    <m/>
    <m/>
    <s v="Bid"/>
    <s v="Nominal"/>
    <m/>
    <s v="https://www.gov.uk/government/policies/reducing-and-managing-waste/supporting-pages/waste-infrastructure-delivery-programme"/>
    <s v="WIDP Reporting and from Authority direct"/>
    <m/>
    <m/>
    <n v="0.56499999999999995"/>
    <n v="56.55913978494624"/>
    <n v="51.609833495933096"/>
    <n v="42.640372289330564"/>
    <n v="0"/>
    <n v="0"/>
    <n v="151.3743455702099"/>
    <n v="0"/>
    <n v="150.8093455702099"/>
  </r>
  <r>
    <x v="5"/>
    <s v="PFI Projects"/>
    <s v="PFI Projects"/>
    <m/>
    <m/>
    <s v="Shropshire Waste Partnership"/>
    <s v="Integrated Waste Contract"/>
    <s v="West Midlands"/>
    <s v="Public"/>
    <s v="No"/>
    <s v="Public"/>
    <s v="In Construction"/>
    <n v="2012"/>
    <n v="2015"/>
    <n v="141.83000000000001"/>
    <n v="40.799999999999997"/>
    <n v="28.08"/>
    <n v="24.52"/>
    <n v="48.08"/>
    <m/>
    <m/>
    <m/>
    <s v="Bid"/>
    <s v="Nominal"/>
    <m/>
    <s v="https://www.gov.uk/government/policies/reducing-and-managing-waste/supporting-pages/waste-infrastructure-delivery-programme"/>
    <s v="WIDP Reporting and from Authority direct"/>
    <m/>
    <m/>
    <n v="28.08"/>
    <n v="23.96871945259042"/>
    <n v="46.122691347294854"/>
    <n v="0"/>
    <n v="0"/>
    <n v="0"/>
    <n v="98.17141079988528"/>
    <n v="0"/>
    <n v="70.091410799885281"/>
  </r>
  <r>
    <x v="5"/>
    <s v="PFI Projects"/>
    <s v="PFI Projects"/>
    <m/>
    <m/>
    <s v="South Tyne &amp; Wear Partnership"/>
    <s v="ST&amp;W Waste Management Partnership"/>
    <s v="North East"/>
    <s v="Public"/>
    <s v="No"/>
    <s v="Public"/>
    <s v="In Construction"/>
    <n v="2011"/>
    <n v="2014"/>
    <n v="177"/>
    <n v="73.5"/>
    <n v="82"/>
    <n v="46"/>
    <m/>
    <m/>
    <m/>
    <m/>
    <s v="Bid"/>
    <s v="Nominal"/>
    <m/>
    <s v="https://www.gov.uk/government/policies/reducing-and-managing-waste/supporting-pages/waste-infrastructure-delivery-programme"/>
    <s v="WIDP Reporting and from Authority direct"/>
    <m/>
    <m/>
    <n v="82"/>
    <n v="44.965786901270775"/>
    <n v="0"/>
    <n v="0"/>
    <n v="0"/>
    <n v="0"/>
    <n v="126.96578690127077"/>
    <n v="0"/>
    <n v="44.965786901270775"/>
  </r>
  <r>
    <x v="5"/>
    <s v="PFI Projects"/>
    <s v="PFI Projects"/>
    <m/>
    <m/>
    <s v="South West Devon Waste Partnership (Plymouth/Torbay/Devon*)"/>
    <s v="South West Devon Waste Partnership (SWDWP) Waste Management Project"/>
    <s v="South West"/>
    <s v="Public"/>
    <s v="No"/>
    <s v="Public"/>
    <s v="In Construction"/>
    <n v="2012"/>
    <n v="2014"/>
    <n v="229.7"/>
    <n v="95"/>
    <n v="84.2"/>
    <n v="77.900000000000006"/>
    <n v="43.3"/>
    <m/>
    <m/>
    <m/>
    <s v="Bid"/>
    <s v="Nominal"/>
    <m/>
    <s v="https://www.gov.uk/government/policies/reducing-and-managing-waste/supporting-pages/waste-infrastructure-delivery-programme"/>
    <s v="WIDP Reporting and from Authority direct"/>
    <m/>
    <m/>
    <n v="84.2"/>
    <n v="76.14858260019551"/>
    <n v="41.537282348957305"/>
    <n v="0"/>
    <n v="0"/>
    <n v="0"/>
    <n v="201.88586494915285"/>
    <n v="0"/>
    <n v="117.68586494915284"/>
  </r>
  <r>
    <x v="5"/>
    <s v="PFI Projects"/>
    <s v="PFI Projects"/>
    <m/>
    <m/>
    <s v="Staffordshire County Council"/>
    <s v="Staffordshire Waste Management Project"/>
    <s v="West Midlands"/>
    <s v="Public"/>
    <s v="No"/>
    <s v="Public"/>
    <s v="In Construction"/>
    <n v="2011"/>
    <n v="2013"/>
    <n v="166.4"/>
    <n v="122.4"/>
    <n v="77.400000000000006"/>
    <n v="30.8"/>
    <n v="0.7"/>
    <m/>
    <m/>
    <m/>
    <s v="Bid"/>
    <s v="Nominal"/>
    <m/>
    <s v="https://www.gov.uk/government/policies/reducing-and-managing-waste/supporting-pages/waste-infrastructure-delivery-programme"/>
    <s v="WIDP Reporting and from Authority direct"/>
    <m/>
    <m/>
    <n v="77.400000000000006"/>
    <n v="30.107526881720432"/>
    <n v="0.67150340979838596"/>
    <n v="0"/>
    <n v="0"/>
    <n v="0"/>
    <n v="108.17903029151883"/>
    <n v="0"/>
    <n v="30.779030291518822"/>
  </r>
  <r>
    <x v="5"/>
    <s v="PFI Projects"/>
    <s v="PFI Projects"/>
    <m/>
    <m/>
    <s v="Suffolk County Council"/>
    <s v="Suffolk Waste Management Project"/>
    <s v="East of England"/>
    <s v="Public"/>
    <s v="No"/>
    <s v="Public"/>
    <s v="In Construction"/>
    <n v="2012"/>
    <n v="2014"/>
    <n v="176.642"/>
    <n v="102.24"/>
    <n v="62.23"/>
    <n v="45.19"/>
    <n v="25.35"/>
    <m/>
    <m/>
    <m/>
    <s v="Bid"/>
    <s v="Nominal"/>
    <m/>
    <s v="https://www.gov.uk/government/policies/reducing-and-managing-waste/supporting-pages/waste-infrastructure-delivery-programme"/>
    <s v="WIDP Reporting and from Authority direct"/>
    <m/>
    <m/>
    <n v="62.23"/>
    <n v="44.173998044965785"/>
    <n v="24.318016340555836"/>
    <n v="0"/>
    <n v="0"/>
    <n v="0"/>
    <n v="130.72201438552162"/>
    <n v="0"/>
    <n v="68.492014385521628"/>
  </r>
  <r>
    <x v="5"/>
    <s v="PFI Projects"/>
    <s v="PFI Projects"/>
    <m/>
    <m/>
    <s v="Surrey County Council"/>
    <s v="Quest Waste Disposal Project "/>
    <s v="South East"/>
    <s v="Public"/>
    <s v="No"/>
    <s v="Public"/>
    <s v="In Construction"/>
    <n v="2011"/>
    <n v="2014"/>
    <n v="103"/>
    <n v="85.5"/>
    <n v="0.56999999999999995"/>
    <n v="0.46"/>
    <m/>
    <m/>
    <m/>
    <m/>
    <s v="Bid"/>
    <s v="Nominal"/>
    <m/>
    <s v="https://www.gov.uk/government/policies/reducing-and-managing-waste/supporting-pages/waste-infrastructure-delivery-programme"/>
    <s v="WIDP Reporting and from Authority direct"/>
    <m/>
    <m/>
    <n v="0.56999999999999995"/>
    <n v="0.44965786901270771"/>
    <n v="0"/>
    <n v="0"/>
    <n v="0"/>
    <n v="0"/>
    <n v="1.0196578690127076"/>
    <n v="0"/>
    <n v="0.44965786901270766"/>
  </r>
  <r>
    <x v="5"/>
    <s v="PFI Projects"/>
    <s v="PFI Projects"/>
    <m/>
    <m/>
    <s v="Wakefield Metropolitan District Council"/>
    <s v="Semi Integrated  Waste Management Project"/>
    <s v="Yorkshire &amp; the Humber"/>
    <s v="Public"/>
    <s v="No"/>
    <s v="Public"/>
    <s v="In Construction"/>
    <n v="2013"/>
    <n v="2015"/>
    <n v="100.4"/>
    <n v="33"/>
    <n v="35"/>
    <n v="45"/>
    <n v="20.399999999999999"/>
    <m/>
    <m/>
    <m/>
    <s v="Bid"/>
    <s v="Nominal"/>
    <m/>
    <s v="https://www.gov.uk/government/policies/reducing-and-managing-waste/supporting-pages/waste-infrastructure-delivery-programme"/>
    <s v="WIDP Reporting and from Authority direct"/>
    <m/>
    <m/>
    <n v="35"/>
    <n v="43.988269794721411"/>
    <n v="19.569527942695817"/>
    <n v="0"/>
    <n v="0"/>
    <n v="0"/>
    <n v="98.557797737417232"/>
    <n v="0"/>
    <n v="63.557797737417232"/>
  </r>
  <r>
    <x v="5"/>
    <s v="PPP Projects"/>
    <s v="PPP Projects"/>
    <m/>
    <m/>
    <s v="Bradford Metropolitan District Council"/>
    <s v="Bradford Waste Treatment Services Project"/>
    <s v="Yorkshire &amp; the Humber"/>
    <s v="Public"/>
    <s v="No"/>
    <s v="Public"/>
    <s v="Consents Approved"/>
    <n v="2014"/>
    <n v="2016"/>
    <n v="168"/>
    <m/>
    <m/>
    <n v="46"/>
    <n v="81"/>
    <n v="41"/>
    <m/>
    <m/>
    <s v="Bid"/>
    <s v="Nominal"/>
    <m/>
    <s v="https://www.gov.uk/government/policies/reducing-and-managing-waste/supporting-pages/waste-infrastructure-delivery-programme"/>
    <s v="WIDP Reporting and from Authority direct"/>
    <s v="Defra withdraw the provisional offer of Waste Infrastructure Credits (WIC) to Bradford and Calderdale in February 2013, which is still in procurement. The project is now listed as a PPP project. "/>
    <m/>
    <n v="0"/>
    <n v="44.965786901270775"/>
    <n v="77.702537419527516"/>
    <n v="38.635475444476313"/>
    <n v="0"/>
    <n v="0"/>
    <n v="161.30379976527462"/>
    <n v="0"/>
    <n v="161.30379976527462"/>
  </r>
  <r>
    <x v="5"/>
    <s v="PPP Projects"/>
    <s v="PPP Projects"/>
    <m/>
    <m/>
    <s v="Buckinghamshire"/>
    <s v="Buckinghamshire Waste management project"/>
    <s v="South East"/>
    <s v="Public"/>
    <s v="No"/>
    <s v="Private"/>
    <s v="In Construction"/>
    <n v="2013"/>
    <n v="2015"/>
    <n v="198"/>
    <m/>
    <n v="83"/>
    <n v="82"/>
    <n v="33"/>
    <m/>
    <m/>
    <m/>
    <s v="Bid"/>
    <s v="Nominal"/>
    <m/>
    <s v="https://www.gov.uk/government/policies/reducing-and-managing-waste/supporting-pages/waste-infrastructure-delivery-programme"/>
    <s v="WIDP Reporting and from Authority direct"/>
    <m/>
    <m/>
    <n v="83"/>
    <n v="80.156402737047898"/>
    <n v="31.656589319066768"/>
    <n v="0"/>
    <n v="0"/>
    <n v="0"/>
    <n v="194.81299205611467"/>
    <n v="0"/>
    <n v="111.81299205611467"/>
  </r>
  <r>
    <x v="5"/>
    <s v="PPP Projects"/>
    <s v="PPP Projects"/>
    <m/>
    <m/>
    <s v="Central Bedfordshire "/>
    <s v="Bedfordshire Energy and Recycling (BEaR) Project"/>
    <s v="East of England"/>
    <s v="Public/Private"/>
    <s v="No"/>
    <s v="Public/Private"/>
    <s v="In Construction"/>
    <n v="2011"/>
    <n v="2014"/>
    <n v="200"/>
    <m/>
    <n v="66.666666666666671"/>
    <n v="66.666666666666671"/>
    <m/>
    <m/>
    <m/>
    <m/>
    <s v="Estimated"/>
    <s v="Nominal"/>
    <m/>
    <s v="https://www.gov.uk/government/policies/reducing-and-managing-waste/supporting-pages/waste-infrastructure-delivery-programme"/>
    <s v="Direct from project/Authority"/>
    <s v="It is not possible to estimate the scale of the future investment for the PPP and Merchant schemes for which there is not much cost information at present. This is because PPP projects are not obligated to report to WIDP, except for those that have signed a Memorandum of Understanding and benefit from WIDP’s Transactor support. This makes it difficult to source data for PPP projects."/>
    <m/>
    <n v="66.666666666666671"/>
    <n v="65.167807103290983"/>
    <n v="0"/>
    <n v="0"/>
    <n v="0"/>
    <n v="0"/>
    <n v="131.83447376995764"/>
    <n v="0"/>
    <n v="65.167807103290968"/>
  </r>
  <r>
    <x v="5"/>
    <s v="PPP Projects"/>
    <s v="PPP Projects"/>
    <m/>
    <m/>
    <s v="Derby City Council and Derbyshire County Council "/>
    <s v="Resource Recovery Solutions (Derbyshire)  - Sinfin Lane"/>
    <s v="East Midlands"/>
    <s v="Public"/>
    <s v="No"/>
    <s v="Private"/>
    <s v="Consents Approved"/>
    <n v="2014"/>
    <n v="2017"/>
    <n v="130"/>
    <m/>
    <m/>
    <m/>
    <m/>
    <m/>
    <m/>
    <m/>
    <s v="Estimated"/>
    <s v="Nominal"/>
    <m/>
    <s v="https://www.gov.uk/government/policies/reducing-and-managing-waste/supporting-pages/waste-infrastructure-delivery-programme"/>
    <s v="Infrastructure News/Journals, WIDP Transactor advisors, waste private Industry contacts &amp; public information "/>
    <s v="It is not possible to estimate the scale of the future investment for the PPP and Merchant schemes for which there is not much cost information at present. This is because PPP projects are not obligated to report to WIDP, except for those that have signed a Memorandum of Understanding and benefit from WIDP’s Transactor support. This makes it difficult to source data for PPP projects."/>
    <m/>
    <n v="0"/>
    <n v="0"/>
    <n v="0"/>
    <n v="0"/>
    <n v="0"/>
    <n v="0"/>
    <n v="0"/>
    <n v="0"/>
    <n v="0"/>
  </r>
  <r>
    <x v="5"/>
    <s v="PPP Projects"/>
    <s v="PPP Projects"/>
    <m/>
    <m/>
    <s v="Devon CC - Devon, Exeter energy from waste"/>
    <s v="Devon CC - Devon, Exeter energy from waste"/>
    <s v="South West"/>
    <s v="Public/Private"/>
    <s v="No"/>
    <s v="Public/Private"/>
    <s v="In Construction"/>
    <n v="2013"/>
    <n v="2015"/>
    <n v="65"/>
    <m/>
    <m/>
    <m/>
    <m/>
    <m/>
    <m/>
    <m/>
    <s v="Estimated"/>
    <s v="Nominal"/>
    <m/>
    <s v="https://www.gov.uk/government/policies/reducing-and-managing-waste/supporting-pages/waste-infrastructure-delivery-programme"/>
    <s v="Infrastructure News/Journals, WIDP Transactor advisors, waste private Industry contacts &amp; public information "/>
    <s v="It is not possible to estimate the scale of the future investment for the PPP and Merchant schemes for which there is not much cost information at present. This is because PPP projects are not obligated to report to WIDP, except for those that have signed a Memorandum of Understanding and benefit from WIDP’s Transactor support. This makes it difficult to source data for PPP projects."/>
    <m/>
    <n v="0"/>
    <n v="0"/>
    <n v="0"/>
    <n v="0"/>
    <n v="0"/>
    <n v="0"/>
    <n v="0"/>
    <n v="0"/>
    <n v="0"/>
  </r>
  <r>
    <x v="5"/>
    <s v="PPP Projects"/>
    <s v="PPP Projects"/>
    <m/>
    <m/>
    <s v="Ferrybridge"/>
    <s v="Ferrybridge multifuel project"/>
    <s v="Yorkshire &amp; the Humber"/>
    <s v="Public"/>
    <s v="No"/>
    <s v="Private"/>
    <s v="In Construction"/>
    <n v="2011"/>
    <n v="2013"/>
    <n v="300"/>
    <m/>
    <m/>
    <m/>
    <m/>
    <m/>
    <m/>
    <m/>
    <s v="Estimated"/>
    <s v="Nominal"/>
    <m/>
    <s v="https://www.gov.uk/government/policies/reducing-and-managing-waste/supporting-pages/waste-infrastructure-delivery-programme"/>
    <s v="Infrastructure News/Journals, WIDP Transactor advisors, waste private Industry contacts &amp; public information "/>
    <s v="It is not possible to estimate the scale of the future investment for the PPP and Merchant schemes for which there is not much cost information at present. This is because PPP projects are not obligated to report to WIDP, except for those that have signed a Memorandum of Understanding and benefit from WIDP’s Transactor support. This makes it difficult to source data for PPP projects."/>
    <m/>
    <n v="0"/>
    <n v="0"/>
    <n v="0"/>
    <n v="0"/>
    <n v="0"/>
    <n v="0"/>
    <n v="0"/>
    <n v="0"/>
    <n v="0"/>
  </r>
  <r>
    <x v="5"/>
    <s v="PPP Projects"/>
    <s v="PPP Projects"/>
    <m/>
    <m/>
    <s v="Gloucestershire County Council"/>
    <s v="Gloucestershire County Council Waste Management project"/>
    <s v="South West"/>
    <s v="Public"/>
    <s v="No"/>
    <s v="Private"/>
    <s v="Planning &amp; Consents"/>
    <n v="2014"/>
    <n v="2017"/>
    <n v="150"/>
    <m/>
    <m/>
    <m/>
    <n v="50"/>
    <n v="50"/>
    <n v="50"/>
    <m/>
    <s v="Bid"/>
    <s v="Nominal"/>
    <m/>
    <s v="https://www.gov.uk/government/policies/reducing-and-managing-waste/supporting-pages/waste-infrastructure-delivery-programme"/>
    <s v="WIDP Reporting and from Authority direct"/>
    <s v="It is not possible to estimate the scale of the future investment for the PPP and Merchant schemes for which there is not much cost information at present. This is because PPP projects are not obligated to report to WIDP, except for those that have signed a Memorandum of Understanding and benefit from WIDP’s Transactor support. This makes it difficult to source data for PPP projects."/>
    <m/>
    <n v="0"/>
    <n v="0"/>
    <n v="47.964529271313282"/>
    <n v="47.116433468873552"/>
    <n v="46.328843135568889"/>
    <n v="0"/>
    <n v="95.080962740186834"/>
    <n v="46.328843135568889"/>
    <n v="141.40980587575572"/>
  </r>
  <r>
    <x v="5"/>
    <s v="PPP Projects"/>
    <s v="PPP Projects"/>
    <m/>
    <m/>
    <s v="Lincolnshire CC waste PPP"/>
    <s v="Lincolnshire Energy from Waste Facility - North Hykeham"/>
    <s v="East Midlands"/>
    <s v="Public"/>
    <s v="No"/>
    <s v="Public"/>
    <s v="In Construction"/>
    <n v="2011"/>
    <n v="2013"/>
    <n v="145"/>
    <m/>
    <n v="48.333333333333336"/>
    <m/>
    <m/>
    <m/>
    <m/>
    <m/>
    <s v="Bid"/>
    <s v="Nominal"/>
    <m/>
    <s v="https://www.gov.uk/government/policies/reducing-and-managing-waste/supporting-pages/waste-infrastructure-delivery-programme"/>
    <s v="Infrastructure News/Journals, WIDP Transactor advisors, waste private Industry contacts &amp; public information "/>
    <s v="It is not possible to estimate the scale of the future investment for the PPP and Merchant schemes for which there is not much cost information at present. This is because PPP projects are not obligated to report to WIDP, except for those that have signed a Memorandum of Understanding and benefit from WIDP’s Transactor support. This makes it difficult to source data for PPP projects."/>
    <m/>
    <n v="48.333333333333343"/>
    <n v="0"/>
    <n v="0"/>
    <n v="0"/>
    <n v="0"/>
    <n v="0"/>
    <n v="48.333333333333343"/>
    <n v="0"/>
    <n v="0"/>
  </r>
  <r>
    <x v="5"/>
    <s v="PPP Projects"/>
    <s v="PPP Projects"/>
    <m/>
    <m/>
    <s v="Merseyside Waste DA"/>
    <s v="Waste Management Project"/>
    <s v="North West"/>
    <s v="Public"/>
    <s v="No"/>
    <s v="Public"/>
    <s v="Consents Approved"/>
    <n v="2014"/>
    <n v="2017"/>
    <n v="369"/>
    <m/>
    <n v="123"/>
    <n v="123"/>
    <n v="123"/>
    <m/>
    <m/>
    <m/>
    <s v="Estimated"/>
    <s v="Nominal"/>
    <m/>
    <s v="https://www.gov.uk/government/policies/reducing-and-managing-waste/supporting-pages/waste-infrastructure-delivery-programme"/>
    <s v="WIDP Reporting and from Authority direct"/>
    <s v="Defra withdrew the provisional offer of Waste Infrastructure Credits (WIC) to Merseyside Recycling and Waste Disposal Authority in February 2013, which is still in procurement. This project is now classed as PPP project. "/>
    <m/>
    <n v="123"/>
    <n v="120.23460410557185"/>
    <n v="117.99274200743068"/>
    <n v="0"/>
    <n v="0"/>
    <n v="0"/>
    <n v="361.22734611300257"/>
    <n v="0"/>
    <n v="238.22734611300257"/>
  </r>
  <r>
    <x v="5"/>
    <s v="PPP Projects"/>
    <s v="PPP Projects"/>
    <m/>
    <m/>
    <s v="Milton Keynes Waste Management Project"/>
    <s v="Milton Keynes Waste Management Project"/>
    <s v="South East"/>
    <s v="Public"/>
    <s v="No"/>
    <s v="Public"/>
    <s v="Consents Approved"/>
    <n v="2014"/>
    <n v="2016"/>
    <m/>
    <m/>
    <m/>
    <m/>
    <m/>
    <m/>
    <m/>
    <m/>
    <s v="Estimated"/>
    <s v="Nominal"/>
    <m/>
    <s v="https://www.gov.uk/government/policies/reducing-and-managing-waste/supporting-pages/waste-infrastructure-delivery-programme"/>
    <s v="Infrastructure News/Journals, WIDP Transactor advisors, waste private Industry contacts &amp; public information "/>
    <s v="It is not possible to estimate the scale of the future investment for the PPP and Merchant schemes for which there is not much cost information at present. This is because PPP projects are not obligated to report to WIDP, except for those that have signed a Memorandum of Understanding and benefit from WIDP’s Transactor support. This makes it difficult to source data for PPP projects."/>
    <m/>
    <n v="0"/>
    <n v="0"/>
    <n v="0"/>
    <n v="0"/>
    <n v="0"/>
    <n v="0"/>
    <n v="0"/>
    <n v="0"/>
    <n v="0"/>
  </r>
  <r>
    <x v="5"/>
    <s v="PPP Projects"/>
    <s v="PPP Projects"/>
    <m/>
    <m/>
    <s v="Norfolk County Council"/>
    <s v="Norfolk Waste Management Project"/>
    <s v="East of England"/>
    <s v="Public"/>
    <s v="No"/>
    <s v="Public"/>
    <s v="Consents Approved"/>
    <n v="2014"/>
    <n v="2016"/>
    <n v="155.1"/>
    <m/>
    <m/>
    <n v="48.2"/>
    <n v="66.7"/>
    <n v="40.200000000000003"/>
    <m/>
    <m/>
    <s v="Bid"/>
    <s v="Nominal"/>
    <m/>
    <s v="https://www.gov.uk/government/policies/reducing-and-managing-waste/supporting-pages/waste-infrastructure-delivery-programme"/>
    <s v="WIDP Reporting and from Authority direct"/>
    <s v="On 18th October 2013, Defra withdrew the offer of financial support to the Norfolk County Council residual waste treatment project. This followed a review of the project triggered by a breach of the terms and conditions under which funding was originally agreed. The project is now classed as a PPP project."/>
    <m/>
    <n v="0"/>
    <n v="47.116324535679375"/>
    <n v="63.984682047931919"/>
    <n v="37.881612508974342"/>
    <n v="0"/>
    <n v="0"/>
    <n v="148.98261909258565"/>
    <n v="0"/>
    <n v="148.98261909258565"/>
  </r>
  <r>
    <x v="5"/>
    <s v="PPP Projects"/>
    <s v="PPP Projects"/>
    <m/>
    <m/>
    <s v="North Lincolnshire Waste Management Project"/>
    <s v="North Lincolnshire Waste Management Project"/>
    <s v="East Midlands"/>
    <s v="Public"/>
    <s v="No"/>
    <s v="Private"/>
    <s v="Consents Approved"/>
    <n v="2014"/>
    <n v="2017"/>
    <n v="145"/>
    <m/>
    <m/>
    <m/>
    <m/>
    <m/>
    <m/>
    <m/>
    <s v="Estimated"/>
    <s v="Nominal"/>
    <m/>
    <s v="https://www.gov.uk/government/policies/reducing-and-managing-waste/supporting-pages/waste-infrastructure-delivery-programme"/>
    <s v="Infrastructure News/Journals, WIDP Transactor advisors, waste private Industry contacts &amp; public information "/>
    <s v="It is not possible to estimate the scale of the future investment for the PPP and Merchant schemes for which there is not much cost information at present. This is because PPP projects are not obligated to report to WIDP, except for those that have signed a Memorandum of Understanding and benefit from WIDP’s Transactor support. This makes it difficult to source data for PPP projects."/>
    <m/>
    <n v="0"/>
    <n v="0"/>
    <n v="0"/>
    <n v="0"/>
    <n v="0"/>
    <n v="0"/>
    <n v="0"/>
    <n v="0"/>
    <n v="0"/>
  </r>
  <r>
    <x v="5"/>
    <s v="PPP Projects"/>
    <s v="PPP Projects"/>
    <m/>
    <m/>
    <s v="North Yorkshire &amp; City of York"/>
    <s v="Waste Management Project"/>
    <s v="Yorkshire &amp; the Humber"/>
    <s v="Public"/>
    <s v="No"/>
    <s v="Public"/>
    <s v="Consents Approved"/>
    <n v="2014"/>
    <n v="2017"/>
    <n v="255"/>
    <m/>
    <m/>
    <m/>
    <m/>
    <m/>
    <m/>
    <m/>
    <s v="Bid"/>
    <s v="Nominal"/>
    <m/>
    <s v="https://www.gov.uk/government/policies/reducing-and-managing-waste/supporting-pages/waste-infrastructure-delivery-programme"/>
    <s v="WIDP Reporting and from Authority direct"/>
    <s v="Defra withdrew the provisional offer of Waste Infrastructure Credits (WIC) to North Yorkshire &amp; City of York in February 2013, which is still in procurement. This project is now classed as PPP project. "/>
    <m/>
    <n v="0"/>
    <n v="0"/>
    <n v="0"/>
    <n v="0"/>
    <n v="0"/>
    <n v="0"/>
    <n v="0"/>
    <n v="0"/>
    <n v="0"/>
  </r>
  <r>
    <x v="5"/>
    <s v="PPP Projects"/>
    <s v="PPP Projects"/>
    <m/>
    <m/>
    <s v="Oxfordshire CC - Ardley"/>
    <s v="Oxfordshire waste management"/>
    <s v="South East"/>
    <s v="Private"/>
    <s v="No"/>
    <s v="Private"/>
    <s v="In Construction"/>
    <n v="2011"/>
    <n v="2013"/>
    <n v="257"/>
    <m/>
    <m/>
    <m/>
    <m/>
    <m/>
    <m/>
    <m/>
    <s v="Bid"/>
    <s v="Nominal"/>
    <m/>
    <s v="https://www.gov.uk/government/policies/reducing-and-managing-waste/supporting-pages/waste-infrastructure-delivery-programme"/>
    <s v="WIDP Reporting and from Authority direct"/>
    <s v="It is not possible to estimate the scale of the future investment for the PPP and Merchant schemes for which there is not much cost information at present. This is because PPP projects are not obligated to report to WIDP, except for those that have signed a Memorandum of Understanding and benefit from WIDP’s Transactor support. This makes it difficult to source data for PPP projects."/>
    <m/>
    <n v="0"/>
    <n v="0"/>
    <n v="0"/>
    <n v="0"/>
    <n v="0"/>
    <n v="0"/>
    <n v="0"/>
    <n v="0"/>
    <n v="0"/>
  </r>
  <r>
    <x v="5"/>
    <s v="PPP Projects"/>
    <s v="PPP Projects"/>
    <m/>
    <m/>
    <s v="Peterborough City Council Waste PPP Project"/>
    <s v="Peterborough City Council Waste PPP Project"/>
    <s v="East of England"/>
    <s v="Public"/>
    <s v="No"/>
    <s v="Private"/>
    <s v="Consents Approved"/>
    <n v="2014"/>
    <n v="2017"/>
    <n v="75"/>
    <m/>
    <m/>
    <m/>
    <m/>
    <m/>
    <m/>
    <m/>
    <s v="Estimated"/>
    <s v="Nominal"/>
    <m/>
    <s v="https://www.gov.uk/government/policies/reducing-and-managing-waste/supporting-pages/waste-infrastructure-delivery-programme"/>
    <s v="Infrastructure News/Journals, WIDP Transactor advisors, waste private Industry contacts &amp; public information "/>
    <s v="It is not possible to estimate the scale of the future investment for the PPP and Merchant schemes for which there is not much cost information at present. This is because PPP projects are not obligated to report to WIDP, except for those that have signed a Memorandum of Understanding and benefit from WIDP’s Transactor support. This makes it difficult to source data for PPP projects."/>
    <m/>
    <n v="0"/>
    <n v="0"/>
    <n v="0"/>
    <n v="0"/>
    <n v="0"/>
    <n v="0"/>
    <n v="0"/>
    <n v="0"/>
    <n v="0"/>
  </r>
  <r>
    <x v="5"/>
    <s v="PPP Projects"/>
    <s v="PPP Projects"/>
    <m/>
    <m/>
    <s v="South London Waste Partnership "/>
    <s v="Waste Management_x000a_Procurement"/>
    <s v="London"/>
    <s v="Public/Private"/>
    <s v="No"/>
    <s v="Public/Private"/>
    <s v="Consents Approved"/>
    <n v="2014"/>
    <n v="2016"/>
    <n v="191.1"/>
    <m/>
    <n v="37.200000000000003"/>
    <n v="72.3"/>
    <n v="59.3"/>
    <n v="20"/>
    <m/>
    <m/>
    <s v="Bid"/>
    <s v="Nominal"/>
    <m/>
    <s v="https://www.gov.uk/government/policies/reducing-and-managing-waste/supporting-pages/waste-infrastructure-delivery-programme"/>
    <s v="WIDP Reporting and from Authority direct"/>
    <s v="It is not possible to estimate the scale of the future investment for the PPP and Merchant schemes for which there is not much cost information at present. This is because PPP projects are not obligated to report to WIDP, except for those that have signed a Memorandum of Understanding and benefit from WIDP’s Transactor support. This makes it difficult to source data for PPP projects."/>
    <m/>
    <n v="37.200000000000003"/>
    <n v="70.674486803519059"/>
    <n v="56.885931715777552"/>
    <n v="18.846573387549419"/>
    <n v="0"/>
    <n v="0"/>
    <n v="183.60699190684605"/>
    <n v="0"/>
    <n v="146.40699190684603"/>
  </r>
  <r>
    <x v="5"/>
    <s v="PPP Projects"/>
    <s v="PPP Projects"/>
    <m/>
    <m/>
    <s v="West London Waste Authority"/>
    <s v="West London Waste Authority"/>
    <s v="London"/>
    <s v="Public"/>
    <s v="No"/>
    <s v="Public"/>
    <s v="Consents Approved"/>
    <n v="2014"/>
    <n v="2016"/>
    <n v="235"/>
    <m/>
    <m/>
    <m/>
    <n v="69.53"/>
    <n v="97.9"/>
    <n v="68.099999999999994"/>
    <m/>
    <s v="Estimated"/>
    <s v="Nominal"/>
    <m/>
    <s v="https://www.gov.uk/government/policies/reducing-and-managing-waste/supporting-pages/waste-infrastructure-delivery-programme"/>
    <s v="WIDP Reporting and from Authority direct"/>
    <s v="It is not possible to estimate the scale of the future investment for the PPP and Merchant schemes for which there is not much cost information at present. This is because PPP projects are not obligated to report to WIDP, except for those that have signed a Memorandum of Understanding and benefit from WIDP’s Transactor support. This makes it difficult to source data for PPP projects."/>
    <m/>
    <n v="0"/>
    <n v="0"/>
    <n v="66.699474404688246"/>
    <n v="92.253976732054412"/>
    <n v="63.099884350644814"/>
    <n v="0"/>
    <n v="158.95345113674267"/>
    <n v="63.099884350644814"/>
    <n v="222.05333548738747"/>
  </r>
  <r>
    <x v="5"/>
    <s v="PPP Projects"/>
    <s v="PPP Projects"/>
    <m/>
    <m/>
    <s v="West Sussex County Council Waste Management"/>
    <s v="West Sussex County Council Waste Management"/>
    <s v="South East"/>
    <s v="Public"/>
    <s v="No"/>
    <s v="Public/Private"/>
    <s v="In Construction"/>
    <n v="2012"/>
    <n v="2014"/>
    <m/>
    <m/>
    <m/>
    <m/>
    <m/>
    <m/>
    <m/>
    <m/>
    <s v="Estimated"/>
    <s v="Nominal"/>
    <m/>
    <s v="https://www.gov.uk/government/policies/reducing-and-managing-waste/supporting-pages/waste-infrastructure-delivery-programme"/>
    <s v="Infrastructure News/Journals, WIDP Transactor advisors, waste private Industry contacts &amp; public information "/>
    <s v="It is not possible to estimate the scale of the future investment for the PPP and Merchant schemes for which there is not much cost information at present. This is because PPP projects are not obligated to report to WIDP, except for those that have signed a Memorandum of Understanding and benefit from WIDP’s Transactor support. This makes it difficult to source data for PPP projects."/>
    <m/>
    <n v="0"/>
    <n v="0"/>
    <n v="0"/>
    <n v="0"/>
    <n v="0"/>
    <n v="0"/>
    <n v="0"/>
    <n v="0"/>
    <n v="0"/>
  </r>
  <r>
    <x v="5"/>
    <s v="PPP Projects"/>
    <s v="PPP Projects"/>
    <m/>
    <m/>
    <s v="Wigan Council Waste to Energy project"/>
    <s v="Wigan Council Waste to Energy project"/>
    <s v="North West"/>
    <s v="Public/Private"/>
    <s v="No"/>
    <s v="Public/Private"/>
    <s v="Consents Approved"/>
    <n v="2014"/>
    <n v="2015"/>
    <n v="49.2"/>
    <m/>
    <m/>
    <m/>
    <m/>
    <m/>
    <m/>
    <m/>
    <s v="Bid"/>
    <s v="Nominal"/>
    <m/>
    <s v="https://www.gov.uk/government/policies/reducing-and-managing-waste/supporting-pages/waste-infrastructure-delivery-programme"/>
    <s v="WIDP Reporting and from Authority direct"/>
    <s v="It is not possible to estimate the scale of the future investment for the PPP and Merchant schemes for which there is not much cost information at present. This is because PPP projects are not obligated to report to WIDP, except for those that have signed a Memorandum of Understanding and benefit from WIDP’s Transactor support. This makes it difficult to source data for PPP projects."/>
    <m/>
    <n v="0"/>
    <n v="0"/>
    <n v="0"/>
    <n v="0"/>
    <n v="0"/>
    <n v="0"/>
    <n v="0"/>
    <n v="0"/>
    <n v="0"/>
  </r>
  <r>
    <x v="5"/>
    <s v="PPP Projects"/>
    <s v="PPP Projects"/>
    <m/>
    <m/>
    <s v="Wiltshire Council  Waste PPP project"/>
    <s v="Wiltshire Council  Waste PPP project"/>
    <s v="South West"/>
    <s v="Public/Private"/>
    <s v="No"/>
    <s v="Public"/>
    <s v="In Construction"/>
    <n v="2011"/>
    <n v="2013"/>
    <n v="22.224"/>
    <m/>
    <n v="9.0129999999999999"/>
    <m/>
    <m/>
    <m/>
    <m/>
    <m/>
    <s v="Bid"/>
    <s v="Nominal"/>
    <m/>
    <s v="https://www.gov.uk/government/policies/reducing-and-managing-waste/supporting-pages/waste-infrastructure-delivery-programme"/>
    <s v="WIDP Reporting and from Authority direct"/>
    <s v="It is not possible to estimate the scale of the future investment for the PPP and Merchant schemes for which there is not much cost information at present. This is because PPP projects are not obligated to report to WIDP, except for those that have signed a Memorandum of Understanding and benefit from WIDP’s Transactor support. This makes it difficult to source data for PPP projects."/>
    <m/>
    <n v="9.0129999999999999"/>
    <n v="0"/>
    <n v="0"/>
    <n v="0"/>
    <n v="0"/>
    <n v="0"/>
    <n v="9.0129999999999999"/>
    <n v="0"/>
    <n v="0"/>
  </r>
  <r>
    <x v="6"/>
    <s v="Projects over £50m"/>
    <s v="Projects over £50m"/>
    <m/>
    <m/>
    <s v="Thames Tideway Tunnel Main (Thames Water)"/>
    <s v="Construction of tunnel"/>
    <s v="London"/>
    <s v="Private"/>
    <s v="Yes"/>
    <s v="Private"/>
    <s v="Scoping"/>
    <n v="2016"/>
    <n v="2023"/>
    <n v="4180"/>
    <m/>
    <m/>
    <m/>
    <m/>
    <m/>
    <n v="2610"/>
    <n v="1570"/>
    <s v="Estimated"/>
    <s v="Nominal"/>
    <m/>
    <s v="http://www.thamestidewaytunnel.co.uk/"/>
    <m/>
    <s v="Spend profile is estimated and spread over the expected life of the contract. Some spend may be brought forward"/>
    <s v="Yes"/>
    <n v="0"/>
    <n v="0"/>
    <n v="0"/>
    <n v="0"/>
    <n v="2418.3656116766961"/>
    <n v="1347.9060901472124"/>
    <n v="0"/>
    <n v="3766.2717018239082"/>
    <n v="3766.2717018239082"/>
  </r>
  <r>
    <x v="6"/>
    <s v="Water and sewerage companies"/>
    <s v="AMP6 projected capital"/>
    <s v="AMP6 - projected 1st year spend"/>
    <m/>
    <m/>
    <m/>
    <s v="UK"/>
    <s v="Private"/>
    <s v="Yes"/>
    <s v="Private"/>
    <s v="Scoping"/>
    <n v="2016"/>
    <n v="2016"/>
    <n v="3000"/>
    <m/>
    <m/>
    <m/>
    <m/>
    <n v="3000"/>
    <m/>
    <m/>
    <s v="See notes"/>
    <s v="Constant"/>
    <d v="2013-01-01T00:00:00"/>
    <m/>
    <s v="HMT estimate"/>
    <s v="The AMP6 water and sewerage programme shown, represents industry historic minimum spend being undertaken as a minimum within the 2015/16 financial year. Water Companies have recently submitted their Business Plans to the industry regulator Ofwat, who are scrutinising the plans as part of the PR14 price review. Forecasts for 2015/16 and beyond will be updated following the completion of the price review process."/>
    <s v="Yes"/>
    <n v="0"/>
    <n v="0"/>
    <n v="0"/>
    <n v="3000"/>
    <n v="0"/>
    <n v="0"/>
    <n v="3000"/>
    <n v="0"/>
    <n v="3000"/>
  </r>
  <r>
    <x v="6"/>
    <s v="Water only companies"/>
    <s v="AMP6 projected capital"/>
    <s v="AMP6 - projected 1st year spend"/>
    <m/>
    <m/>
    <m/>
    <s v="UK"/>
    <s v="Private"/>
    <s v="Yes"/>
    <s v="Private"/>
    <s v="Scoping"/>
    <n v="2016"/>
    <n v="2016"/>
    <n v="240"/>
    <m/>
    <m/>
    <m/>
    <m/>
    <n v="240"/>
    <m/>
    <m/>
    <s v="See notes"/>
    <s v="Constant"/>
    <d v="2013-01-01T00:00:00"/>
    <m/>
    <s v="HMT estimate"/>
    <s v="The AMP6 water only programme shown, represents industry historic minimum spend being undertaken as a minimum within the 2015/16 financial year. Water Companies have recently submitted their Business Plans to the industry regulator Ofwat, who are scrutinising the plans as part of the PR14 price review. Forecasts for 2015/16 and beyond will be updated following the completion of the price review process."/>
    <s v="Yes"/>
    <n v="0"/>
    <n v="0"/>
    <n v="0"/>
    <n v="240"/>
    <n v="0"/>
    <n v="0"/>
    <n v="240"/>
    <n v="0"/>
    <n v="240"/>
  </r>
  <r>
    <x v="6"/>
    <s v="Water and sewerage companies"/>
    <s v="Anglian Water"/>
    <s v="Anglian Water: Sewerage service"/>
    <m/>
    <m/>
    <s v="Maintenance and improvements to wastewater  infrastructure"/>
    <s v="East of England"/>
    <s v="Private"/>
    <s v="Yes"/>
    <s v="Private"/>
    <s v="Active Programme"/>
    <n v="2010"/>
    <n v="2015"/>
    <n v="1184.0889780855409"/>
    <m/>
    <n v="244.74641453591667"/>
    <n v="230.69105244915619"/>
    <n v="188.84168661448729"/>
    <m/>
    <m/>
    <m/>
    <s v="See notes"/>
    <s v="Constant"/>
    <s v="2007/08"/>
    <s v="http://www.ofwat.gov.uk/pricereview/pr09phase3/det_pr09_finalfull.pdf"/>
    <s v="OFWAT"/>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s v="Yes"/>
    <n v="276.20007960086298"/>
    <n v="260.33838808418295"/>
    <n v="213.11073738826266"/>
    <n v="0"/>
    <n v="0"/>
    <n v="0"/>
    <n v="749.64920507330862"/>
    <n v="0"/>
    <n v="473.44912547244564"/>
  </r>
  <r>
    <x v="6"/>
    <s v="Water and sewerage companies"/>
    <s v="Anglian Water"/>
    <s v="Anglian Water: Water service"/>
    <m/>
    <m/>
    <s v="Maintenance and improvements to water supply infrastructure"/>
    <s v="East of England"/>
    <s v="Private"/>
    <s v="Yes"/>
    <s v="Private"/>
    <s v="Active Programme"/>
    <n v="2010"/>
    <n v="2015"/>
    <n v="937.55983911746011"/>
    <m/>
    <n v="195.21229226018264"/>
    <n v="185.9695127924283"/>
    <n v="156.16175836873501"/>
    <m/>
    <m/>
    <m/>
    <s v="See notes"/>
    <s v="Constant"/>
    <s v="2007/08"/>
    <s v="http://www.ofwat.gov.uk/pricereview/pr09phase3/det_pr09_finalfull.pdf"/>
    <s v="OFWAT"/>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s v="Yes"/>
    <n v="220.30006349047829"/>
    <n v="209.86944521332134"/>
    <n v="176.23093753524918"/>
    <n v="0"/>
    <n v="0"/>
    <n v="0"/>
    <n v="606.40044623904885"/>
    <n v="0"/>
    <n v="386.10038274857055"/>
  </r>
  <r>
    <x v="6"/>
    <s v="Water and sewerage companies"/>
    <s v="Northumbrian Water"/>
    <s v="Northumbrian Water: Sewerage service"/>
    <m/>
    <m/>
    <s v="Maintenance and improvements to wastewater  infrastructure"/>
    <s v="North East"/>
    <s v="Private"/>
    <s v="Yes"/>
    <s v="Private"/>
    <s v="Active Programme"/>
    <n v="2010"/>
    <n v="2015"/>
    <n v="508.88797494223104"/>
    <m/>
    <n v="86.39672489953611"/>
    <n v="99.144493944999965"/>
    <n v="81.158819366173887"/>
    <m/>
    <m/>
    <m/>
    <s v="See notes"/>
    <s v="Constant"/>
    <s v="2007/08"/>
    <s v="http://www.ofwat.gov.uk/pricereview/pr09phase3/det_pr09_finalfull.pdf"/>
    <s v="OFWAT"/>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s v="Yes"/>
    <n v="97.5000280995081"/>
    <n v="111.88608082991013"/>
    <n v="91.588971432959298"/>
    <n v="0"/>
    <n v="0"/>
    <n v="0"/>
    <n v="300.97508036237753"/>
    <n v="0"/>
    <n v="203.47505226286944"/>
  </r>
  <r>
    <x v="6"/>
    <s v="Water and sewerage companies"/>
    <s v="Northumbrian Water"/>
    <s v="Northumbrian Water: Water service"/>
    <m/>
    <m/>
    <s v="Maintenance and improvements to water supply infrastructure"/>
    <s v="North East"/>
    <s v="Private"/>
    <s v="Yes"/>
    <s v="Private"/>
    <s v="Active Programme"/>
    <n v="2010"/>
    <n v="2015"/>
    <n v="708.52218051301475"/>
    <m/>
    <n v="119.98068257843272"/>
    <n v="132.94778932854607"/>
    <n v="118.01280828785676"/>
    <m/>
    <m/>
    <m/>
    <s v="See notes"/>
    <s v="Constant"/>
    <s v="2007/08"/>
    <s v="http://www.ofwat.gov.uk/pricereview/pr09phase3/det_pr09_finalfull.pdf"/>
    <s v="OFWAT"/>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s v="Yes"/>
    <n v="135.40003902229125"/>
    <n v="150.03361771379278"/>
    <n v="133.17926272723417"/>
    <n v="0"/>
    <n v="0"/>
    <n v="0"/>
    <n v="418.61291946331818"/>
    <n v="0"/>
    <n v="283.21288044102693"/>
  </r>
  <r>
    <x v="6"/>
    <s v="Water and sewerage companies"/>
    <s v="Severn Trent Water"/>
    <s v="Severn Trent Water: Sewerage service"/>
    <m/>
    <m/>
    <s v="Maintenance and improvements to wastewater  infrastructure"/>
    <s v="West Midlands"/>
    <s v="Private"/>
    <s v="Yes"/>
    <s v="Private"/>
    <s v="Active Programme"/>
    <n v="2010"/>
    <n v="2015"/>
    <n v="1351.2101915587036"/>
    <m/>
    <n v="267.43109307364102"/>
    <n v="263.25057233003361"/>
    <n v="215.49462605182396"/>
    <m/>
    <m/>
    <m/>
    <s v="See notes"/>
    <s v="Constant"/>
    <s v="2007/08"/>
    <s v="http://www.ofwat.gov.uk/pricereview/pr09phase3/det_pr09_finalfull.pdf"/>
    <s v="OFWAT"/>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s v="Yes"/>
    <n v="301.80008697878509"/>
    <n v="297.08230525214827"/>
    <n v="243.18898800594044"/>
    <n v="0"/>
    <n v="0"/>
    <n v="0"/>
    <n v="842.07138023687389"/>
    <n v="0"/>
    <n v="540.2712932580888"/>
  </r>
  <r>
    <x v="6"/>
    <s v="Water and sewerage companies"/>
    <s v="Severn Trent Water"/>
    <s v="Severn Trent Water: Water service"/>
    <m/>
    <m/>
    <s v="Maintenance and improvements to water supply infrastructure"/>
    <s v="West Midlands"/>
    <s v="Private"/>
    <s v="Yes"/>
    <s v="Private"/>
    <s v="Active Programme"/>
    <n v="2010"/>
    <n v="2015"/>
    <n v="1100.380782562167"/>
    <m/>
    <n v="254.05067721740517"/>
    <n v="218.26583166346532"/>
    <n v="183.28152584034095"/>
    <m/>
    <m/>
    <m/>
    <s v="See notes"/>
    <s v="Constant"/>
    <s v="2007/08"/>
    <s v="http://www.ofwat.gov.uk/pricereview/pr09phase3/det_pr09_finalfull.pdf"/>
    <s v="OFWAT"/>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s v="Yes"/>
    <n v="286.70008262696382"/>
    <n v="246.31633600806362"/>
    <n v="206.83601074385066"/>
    <n v="0"/>
    <n v="0"/>
    <n v="0"/>
    <n v="739.85242937887813"/>
    <n v="0"/>
    <n v="453.15234675191431"/>
  </r>
  <r>
    <x v="6"/>
    <s v="Water and sewerage companies"/>
    <s v="South West Water"/>
    <s v="South West Water: Sewerage service"/>
    <m/>
    <m/>
    <s v="Maintenance and improvements to wastewater  infrastructure"/>
    <s v="South West"/>
    <s v="Private"/>
    <s v="Yes"/>
    <s v="Private"/>
    <s v="Active Programme"/>
    <n v="2010"/>
    <n v="2015"/>
    <n v="377.84479811654353"/>
    <m/>
    <n v="75.940505886053799"/>
    <n v="73.613905503009732"/>
    <n v="60.259701994864656"/>
    <m/>
    <m/>
    <m/>
    <s v="See notes"/>
    <s v="Constant"/>
    <s v="2007/08"/>
    <s v="http://www.ofwat.gov.uk/pricereview/pr09phase3/det_pr09_finalfull.pdf"/>
    <s v="OFWAT"/>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s v="Yes"/>
    <n v="85.700024698747129"/>
    <n v="83.074420510777031"/>
    <n v="68.003997195486676"/>
    <n v="0"/>
    <n v="0"/>
    <n v="0"/>
    <n v="236.77844240501085"/>
    <n v="0"/>
    <n v="151.07841770626374"/>
  </r>
  <r>
    <x v="6"/>
    <s v="Water and sewerage companies"/>
    <s v="South West Water"/>
    <s v="South West Water: Water service"/>
    <m/>
    <m/>
    <s v="Maintenance and improvements to water supply infrastructure"/>
    <s v="South West"/>
    <s v="Private"/>
    <s v="Yes"/>
    <s v="Private"/>
    <s v="Active Programme"/>
    <n v="2010"/>
    <n v="2015"/>
    <n v="293.77771589864193"/>
    <m/>
    <n v="43.242668462537047"/>
    <n v="58.272225852133786"/>
    <n v="48.932177734348343"/>
    <m/>
    <m/>
    <m/>
    <s v="See notes"/>
    <s v="Constant"/>
    <s v="2007/08"/>
    <s v="http://www.ofwat.gov.uk/pricereview/pr09phase3/det_pr09_finalfull.pdf"/>
    <s v="OFWAT"/>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s v="Yes"/>
    <n v="48.800014064164053"/>
    <n v="65.761099909869756"/>
    <n v="55.220712470487456"/>
    <n v="0"/>
    <n v="0"/>
    <n v="0"/>
    <n v="169.78182644452127"/>
    <n v="0"/>
    <n v="120.98181238035721"/>
  </r>
  <r>
    <x v="6"/>
    <s v="Water and sewerage companies"/>
    <s v="Southern Water"/>
    <s v="Southern Water: Sewerage service"/>
    <m/>
    <m/>
    <s v="Maintenance and improvements to wastewater  infrastructure"/>
    <s v="South East"/>
    <s v="Private"/>
    <s v="Yes"/>
    <s v="Private"/>
    <s v="Active Programme"/>
    <n v="2010"/>
    <n v="2015"/>
    <n v="1283.350842562917"/>
    <m/>
    <n v="243.32862212730893"/>
    <n v="250.02982209244323"/>
    <n v="204.67223503721925"/>
    <m/>
    <m/>
    <m/>
    <s v="See notes"/>
    <s v="Constant"/>
    <s v="2007/08"/>
    <s v="http://www.ofwat.gov.uk/pricereview/pr09phase3/det_pr09_finalfull.pdf"/>
    <s v="OFWAT"/>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s v="Yes"/>
    <n v="274.60007913974283"/>
    <n v="282.16248599788202"/>
    <n v="230.97575389023976"/>
    <n v="0"/>
    <n v="0"/>
    <n v="0"/>
    <n v="787.73831902786458"/>
    <n v="0"/>
    <n v="513.13823988812169"/>
  </r>
  <r>
    <x v="6"/>
    <s v="Water and sewerage companies"/>
    <s v="Southern Water"/>
    <s v="Southern Water: Water service"/>
    <m/>
    <m/>
    <s v="Maintenance and improvements to water supply infrastructure"/>
    <s v="South East"/>
    <s v="Private"/>
    <s v="Yes"/>
    <s v="Private"/>
    <s v="Active Programme"/>
    <n v="2010"/>
    <n v="2015"/>
    <n v="468.29411638453291"/>
    <m/>
    <n v="93.397074917036988"/>
    <n v="92.888394995214398"/>
    <n v="77.999962879361149"/>
    <m/>
    <m/>
    <m/>
    <s v="See notes"/>
    <s v="Constant"/>
    <s v="2007/08"/>
    <s v="http://www.ofwat.gov.uk/pricereview/pr09phase3/det_pr09_finalfull.pdf"/>
    <s v="OFWAT"/>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s v="Yes"/>
    <n v="105.40003037628875"/>
    <n v="104.82597728887104"/>
    <n v="88.024153477363285"/>
    <n v="0"/>
    <n v="0"/>
    <n v="0"/>
    <n v="298.2501611425231"/>
    <n v="0"/>
    <n v="192.85013076623434"/>
  </r>
  <r>
    <x v="6"/>
    <s v="Water and sewerage companies"/>
    <s v="Thames Water"/>
    <s v="Thames Water: Sewerage service"/>
    <m/>
    <m/>
    <s v="Maintenance and improvements to wastewater  infrastructure"/>
    <s v="London"/>
    <s v="Private"/>
    <s v="Yes"/>
    <s v="Private"/>
    <s v="Active Programme"/>
    <n v="2010"/>
    <n v="2015"/>
    <n v="3399.7709023469938"/>
    <m/>
    <n v="638.0951958990355"/>
    <n v="382.86872988519053"/>
    <n v="340.64521402470882"/>
    <m/>
    <m/>
    <m/>
    <s v="See notes"/>
    <s v="Constant"/>
    <s v="2007/08"/>
    <s v="http://www.ofwat.gov.uk/pricereview/pr09phase3/det_pr09_finalfull.pdf"/>
    <s v="OFWAT"/>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s v="Yes"/>
    <n v="720.10020753287995"/>
    <n v="432.0732292298905"/>
    <n v="384.4233444959022"/>
    <n v="0"/>
    <n v="0"/>
    <n v="0"/>
    <n v="1536.5967812586728"/>
    <n v="0"/>
    <n v="816.49657372579281"/>
  </r>
  <r>
    <x v="6"/>
    <s v="Water and sewerage companies"/>
    <s v="Thames Water"/>
    <s v="Thames Water: Water service"/>
    <m/>
    <m/>
    <s v="Maintenance and improvements to water supply infrastructure"/>
    <s v="London"/>
    <s v="Private"/>
    <s v="Yes"/>
    <s v="Private"/>
    <s v="Active Programme"/>
    <n v="2010"/>
    <n v="2015"/>
    <n v="1512.8324961917674"/>
    <m/>
    <n v="284.79905007908621"/>
    <n v="300.07761693180731"/>
    <n v="251.98027140865125"/>
    <m/>
    <m/>
    <m/>
    <s v="See notes"/>
    <s v="Constant"/>
    <s v="2007/08"/>
    <s v="http://www.ofwat.gov.uk/pricereview/pr09phase3/det_pr09_finalfull.pdf"/>
    <s v="OFWAT"/>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s v="Yes"/>
    <n v="321.40009262750669"/>
    <n v="338.64218946847757"/>
    <n v="284.363597942323"/>
    <n v="0"/>
    <n v="0"/>
    <n v="0"/>
    <n v="944.40588003830726"/>
    <n v="0"/>
    <n v="623.00578741080062"/>
  </r>
  <r>
    <x v="6"/>
    <s v="Water and sewerage companies"/>
    <s v="United Utilities Water"/>
    <s v="United Utilities Water: Sewerage service"/>
    <m/>
    <m/>
    <s v="Maintenance and improvements to wastewater  infrastructure"/>
    <s v="North West"/>
    <s v="Private"/>
    <s v="Yes"/>
    <s v="Private"/>
    <s v="Active Programme"/>
    <n v="2010"/>
    <n v="2015"/>
    <n v="2188.0616646867511"/>
    <m/>
    <n v="451.56688214157543"/>
    <n v="403.27364451522192"/>
    <n v="320.67558522444176"/>
    <m/>
    <m/>
    <m/>
    <s v="See notes"/>
    <s v="Constant"/>
    <s v="2007/08"/>
    <s v="http://www.ofwat.gov.uk/pricereview/pr09phase3/det_pr09_finalfull.pdf"/>
    <s v="OFWAT"/>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s v="Yes"/>
    <n v="509.60014686676232"/>
    <n v="455.10048810005634"/>
    <n v="361.88731235548431"/>
    <n v="0"/>
    <n v="0"/>
    <n v="0"/>
    <n v="1326.5879473223029"/>
    <n v="0"/>
    <n v="816.98780045554054"/>
  </r>
  <r>
    <x v="6"/>
    <s v="Water and sewerage companies"/>
    <s v="United Utilities Water"/>
    <s v="United Utilities Water: Water service"/>
    <m/>
    <m/>
    <s v="Maintenance and improvements to water supply infrastructure"/>
    <s v="North West"/>
    <s v="Private"/>
    <s v="Yes"/>
    <s v="Private"/>
    <s v="Active Programme"/>
    <n v="2010"/>
    <n v="2015"/>
    <n v="1384.2264493542464"/>
    <m/>
    <n v="266.45636079272316"/>
    <n v="274.56798770638397"/>
    <n v="230.55940249653577"/>
    <m/>
    <m/>
    <m/>
    <s v="See notes"/>
    <s v="Constant"/>
    <s v="2007/08"/>
    <s v="http://www.ofwat.gov.uk/pricereview/pr09phase3/det_pr09_finalfull.pdf"/>
    <s v="OFWAT"/>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s v="Yes"/>
    <n v="300.700086661765"/>
    <n v="309.85418194644518"/>
    <n v="260.18981909508392"/>
    <n v="0"/>
    <n v="0"/>
    <n v="0"/>
    <n v="870.7440877032941"/>
    <n v="0"/>
    <n v="570.0440010415291"/>
  </r>
  <r>
    <x v="6"/>
    <s v="Water and sewerage companies"/>
    <s v="Welsh Water"/>
    <s v="Welsh Water: Sewerage service"/>
    <m/>
    <m/>
    <s v="Maintenance and improvements to wastewater  infrastructure"/>
    <s v="Wales"/>
    <s v="Private"/>
    <s v="Yes"/>
    <s v="Private"/>
    <s v="Active Programme"/>
    <n v="2010"/>
    <n v="2015"/>
    <n v="567.4133467350473"/>
    <m/>
    <n v="158.50298844056127"/>
    <n v="110.54674484314791"/>
    <n v="90.492602657497571"/>
    <m/>
    <m/>
    <m/>
    <s v="See notes"/>
    <s v="Constant"/>
    <s v="2007/08"/>
    <s v="http://www.ofwat.gov.uk/pricereview/pr09phase3/det_pr09_finalfull.pdf"/>
    <s v="OFWAT"/>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s v="Yes"/>
    <n v="178.87305155121348"/>
    <n v="124.75369571068016"/>
    <n v="102.12228891966954"/>
    <n v="0"/>
    <n v="0"/>
    <n v="0"/>
    <n v="405.74903618156316"/>
    <n v="0"/>
    <n v="226.87598463034968"/>
  </r>
  <r>
    <x v="6"/>
    <s v="Water and sewerage companies"/>
    <s v="Welsh Water"/>
    <s v="Welsh Water: Water service"/>
    <m/>
    <m/>
    <s v="Maintenance and improvements to water supply infrastructure"/>
    <s v="Wales"/>
    <s v="Private"/>
    <s v="Yes"/>
    <s v="Private"/>
    <s v="Active Programme"/>
    <n v="2010"/>
    <n v="2015"/>
    <n v="536.42119068276725"/>
    <m/>
    <n v="141.3787145053455"/>
    <n v="106.40172853042881"/>
    <n v="89.347338557210392"/>
    <m/>
    <m/>
    <m/>
    <s v="See notes"/>
    <s v="Constant"/>
    <s v="2007/08"/>
    <s v="http://www.ofwat.gov.uk/pricereview/pr09phase3/det_pr09_finalfull.pdf"/>
    <s v="OFWAT"/>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s v="Yes"/>
    <n v="159.54804598174684"/>
    <n v="120.07598127841467"/>
    <n v="100.82984083105042"/>
    <n v="0"/>
    <n v="0"/>
    <n v="0"/>
    <n v="380.45386809121192"/>
    <n v="0"/>
    <n v="220.90582210946508"/>
  </r>
  <r>
    <x v="6"/>
    <s v="Water and sewerage companies"/>
    <s v="Wessex Water"/>
    <s v="Wessex Water: Sewerage service"/>
    <m/>
    <m/>
    <s v="Maintenance and improvements to wastewater  infrastructure"/>
    <s v="South West"/>
    <s v="Private"/>
    <s v="Yes"/>
    <s v="Private"/>
    <s v="Active Programme"/>
    <n v="2010"/>
    <n v="2015"/>
    <n v="530.86847206344714"/>
    <m/>
    <n v="116.61342560798926"/>
    <n v="103.42686132455906"/>
    <n v="84.664328011061784"/>
    <m/>
    <m/>
    <m/>
    <s v="See notes"/>
    <s v="Constant"/>
    <s v="2007/08"/>
    <s v="http://www.ofwat.gov.uk/pricereview/pr09phase3/det_pr09_finalfull.pdf"/>
    <s v="OFWAT"/>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s v="Yes"/>
    <n v="131.60003792713096"/>
    <n v="116.71879804604237"/>
    <n v="95.544991661469993"/>
    <n v="0"/>
    <n v="0"/>
    <n v="0"/>
    <n v="343.86382763464331"/>
    <n v="0"/>
    <n v="212.26378970751236"/>
  </r>
  <r>
    <x v="6"/>
    <s v="Water and sewerage companies"/>
    <s v="Wessex Water"/>
    <s v="Wessex Water: Water service"/>
    <m/>
    <m/>
    <s v="Maintenance and improvements to water supply infrastructure"/>
    <s v="South West"/>
    <s v="Private"/>
    <s v="Yes"/>
    <s v="Private"/>
    <s v="Active Programme"/>
    <n v="2010"/>
    <n v="2015"/>
    <n v="484.99015275237394"/>
    <m/>
    <n v="80.636943239567046"/>
    <n v="49.213134277706288"/>
    <n v="33.497886600928268"/>
    <m/>
    <m/>
    <m/>
    <s v="See notes"/>
    <s v="Constant"/>
    <s v="2007/08"/>
    <s v="http://www.ofwat.gov.uk/pricereview/pr09phase3/det_pr09_finalfull.pdf"/>
    <s v="OFWAT"/>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s v="Yes"/>
    <n v="91.000026226207567"/>
    <n v="55.537776235392826"/>
    <n v="37.802878392236117"/>
    <n v="0"/>
    <n v="0"/>
    <n v="0"/>
    <n v="184.34068085383652"/>
    <n v="0"/>
    <n v="93.34065462762895"/>
  </r>
  <r>
    <x v="6"/>
    <s v="Water and sewerage companies"/>
    <s v="Yorkshire Water"/>
    <s v="Yorkshire Water: Sewerage service"/>
    <m/>
    <m/>
    <s v="Maintenance and improvements to wastewater  infrastructure"/>
    <s v="Yorkshire &amp; the Humber"/>
    <s v="Private"/>
    <s v="Yes"/>
    <s v="Private"/>
    <s v="Active Programme"/>
    <n v="2010"/>
    <n v="2015"/>
    <n v="1148.5787544273003"/>
    <m/>
    <n v="225.07454486648382"/>
    <n v="203.93074561577168"/>
    <n v="169.40042088717519"/>
    <m/>
    <m/>
    <m/>
    <s v="See notes"/>
    <s v="Constant"/>
    <s v="2007/08"/>
    <s v="http://www.ofwat.gov.uk/pricereview/pr09phase3/det_pr09_finalfull.pdf"/>
    <s v="OFWAT"/>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s v="Yes"/>
    <n v="254.00007320282108"/>
    <n v="230.13897171463421"/>
    <n v="191.17097107296439"/>
    <n v="0"/>
    <n v="0"/>
    <n v="0"/>
    <n v="675.31001599041974"/>
    <n v="0"/>
    <n v="421.30994278759863"/>
  </r>
  <r>
    <x v="6"/>
    <s v="Water and sewerage companies"/>
    <s v="Yorkshire Water"/>
    <s v="Yorkshire Water: Water service"/>
    <m/>
    <m/>
    <s v="Maintenance and improvements to water supply infrastructure"/>
    <s v="Yorkshire &amp; the Humber"/>
    <s v="Private"/>
    <s v="Yes"/>
    <s v="Private"/>
    <s v="Active Programme"/>
    <n v="2010"/>
    <n v="2015"/>
    <n v="726.51172186673693"/>
    <m/>
    <n v="127.6013167746995"/>
    <n v="144.10710155921942"/>
    <n v="121.00918067160642"/>
    <m/>
    <m/>
    <m/>
    <s v="See notes"/>
    <s v="Constant"/>
    <s v="2007/08"/>
    <s v="http://www.ofwat.gov.uk/pricereview/pr09phase3/det_pr09_finalfull.pdf"/>
    <s v="OFWAT"/>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s v="Yes"/>
    <n v="144.00004150081196"/>
    <n v="162.62707258522482"/>
    <n v="136.56071488241594"/>
    <n v="0"/>
    <n v="0"/>
    <n v="0"/>
    <n v="443.18782896845272"/>
    <n v="0"/>
    <n v="299.18778746764076"/>
  </r>
  <r>
    <x v="6"/>
    <s v="Water only companies"/>
    <s v="Water only companies"/>
    <s v="Bournemouth &amp; West Hampshire Water"/>
    <m/>
    <m/>
    <s v="Maintenance and improvements to water supply infrastructure"/>
    <s v="South West"/>
    <s v="Private"/>
    <s v="Yes"/>
    <s v="Private"/>
    <s v="Active Programme"/>
    <n v="2010"/>
    <n v="2015"/>
    <n v="44.323183755580558"/>
    <m/>
    <n v="8.2409183750326758"/>
    <n v="8.7917171198305901"/>
    <n v="7.3825541826614609"/>
    <m/>
    <m/>
    <m/>
    <s v="See notes"/>
    <s v="Constant"/>
    <s v="2007/08"/>
    <s v="http://www.ofwat.gov.uk/pricereview/pr09phase3/det_pr09_finalfull.pdf"/>
    <s v="OFWAT"/>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s v="Yes"/>
    <n v="9.3000026802607731"/>
    <n v="9.9215875048871389"/>
    <n v="8.3313255345342174"/>
    <n v="0"/>
    <n v="0"/>
    <n v="0"/>
    <n v="27.552915719682126"/>
    <n v="0"/>
    <n v="18.252913039421351"/>
  </r>
  <r>
    <x v="6"/>
    <s v="Water only companies"/>
    <s v="Water only companies"/>
    <s v="Bristol Water"/>
    <m/>
    <m/>
    <s v="Maintenance and improvements to water supply infrastructure"/>
    <s v="South West"/>
    <s v="Private"/>
    <s v="Yes"/>
    <s v="Private"/>
    <s v="Active Programme"/>
    <n v="2010"/>
    <n v="2015"/>
    <n v="244.30248779328213"/>
    <m/>
    <n v="78.333030575579414"/>
    <n v="48.458575904511292"/>
    <n v="40.69148919984373"/>
    <m/>
    <m/>
    <m/>
    <s v="See notes"/>
    <s v="Constant"/>
    <s v="2007/08"/>
    <s v="http://www.ofwat.gov.uk/pricereview/pr09phase3/det_pr09_finalfull.pdf"/>
    <s v="OFWAT"/>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s v="Yes"/>
    <n v="88.40002547688735"/>
    <n v="54.686245547455528"/>
    <n v="45.920969168784964"/>
    <n v="0"/>
    <n v="0"/>
    <n v="0"/>
    <n v="189.00724019312781"/>
    <n v="0"/>
    <n v="100.60721471624046"/>
  </r>
  <r>
    <x v="6"/>
    <s v="Water only companies"/>
    <s v="Water only companies"/>
    <s v="Cambridge Water"/>
    <m/>
    <m/>
    <s v="Maintenance and improvements to water supply infrastructure"/>
    <s v="East of England"/>
    <s v="Private"/>
    <s v="Yes"/>
    <s v="Private"/>
    <s v="Active Programme"/>
    <n v="2010"/>
    <n v="2015"/>
    <n v="30.448590082377688"/>
    <m/>
    <n v="6.7345139408869175"/>
    <n v="6.0396245941660132"/>
    <n v="5.0715753477546492"/>
    <m/>
    <m/>
    <m/>
    <s v="See notes"/>
    <s v="Constant"/>
    <s v="2007/08"/>
    <s v="http://www.ofwat.gov.uk/pricereview/pr09phase3/det_pr09_finalfull.pdf"/>
    <s v="OFWAT"/>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s v="Yes"/>
    <n v="7.6000021903206312"/>
    <n v="6.815808913201387"/>
    <n v="5.7233505030409528"/>
    <n v="0"/>
    <n v="0"/>
    <n v="0"/>
    <n v="20.139161606562972"/>
    <n v="0"/>
    <n v="12.539159416242342"/>
  </r>
  <r>
    <x v="6"/>
    <s v="Water only companies"/>
    <s v="Water only companies"/>
    <s v="Dee Valley Water"/>
    <m/>
    <m/>
    <s v="Maintenance and improvements to water supply infrastructure"/>
    <s v="Wales"/>
    <s v="Private"/>
    <s v="Yes"/>
    <s v="Private"/>
    <s v="Active Programme"/>
    <n v="2010"/>
    <n v="2015"/>
    <n v="34.220127846941978"/>
    <m/>
    <n v="12.405683575318006"/>
    <n v="6.787727287231978"/>
    <n v="5.6997698847805252"/>
    <m/>
    <m/>
    <m/>
    <s v="See notes"/>
    <s v="Constant"/>
    <s v="2007/08"/>
    <s v="http://www.ofwat.gov.uk/pricereview/pr09phase3/det_pr09_finalfull.pdf"/>
    <s v="OFWAT"/>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s v="Yes"/>
    <n v="14.000004034801162"/>
    <n v="7.6600542671782357"/>
    <n v="6.4322776653055174"/>
    <n v="0"/>
    <n v="0"/>
    <n v="0"/>
    <n v="28.092335967284914"/>
    <n v="0"/>
    <n v="14.092331932483752"/>
  </r>
  <r>
    <x v="6"/>
    <s v="Water only companies"/>
    <s v="Water only companies"/>
    <s v="Portsmouth Water"/>
    <m/>
    <m/>
    <s v="Maintenance and improvements to water supply infrastructure"/>
    <s v="South East"/>
    <s v="Private"/>
    <s v="Yes"/>
    <s v="Private"/>
    <s v="Active Programme"/>
    <n v="2010"/>
    <n v="2015"/>
    <n v="38.939891105369412"/>
    <m/>
    <n v="13.646251932849808"/>
    <n v="7.7239150771138245"/>
    <n v="6.4859026720103747"/>
    <m/>
    <m/>
    <m/>
    <s v="See notes"/>
    <s v="Constant"/>
    <s v="2007/08"/>
    <s v="http://www.ofwat.gov.uk/pricereview/pr09phase3/det_pr09_finalfull.pdf"/>
    <s v="OFWAT"/>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s v="Yes"/>
    <n v="15.400004438281281"/>
    <n v="8.7165565353607022"/>
    <n v="7.3194405633665589"/>
    <n v="0"/>
    <n v="0"/>
    <n v="0"/>
    <n v="31.43600153700854"/>
    <n v="0"/>
    <n v="16.035997098727258"/>
  </r>
  <r>
    <x v="6"/>
    <s v="Water only companies"/>
    <s v="Water only companies"/>
    <s v="South East Water"/>
    <m/>
    <m/>
    <s v="Maintenance and improvements to water supply infrastructure"/>
    <s v="South East"/>
    <s v="Private"/>
    <s v="Yes"/>
    <s v="Private"/>
    <s v="Active Programme"/>
    <n v="2010"/>
    <n v="2015"/>
    <n v="390.45912052819517"/>
    <m/>
    <n v="83.561140082320577"/>
    <n v="77.44944843023643"/>
    <n v="65.035617236110838"/>
    <m/>
    <m/>
    <m/>
    <s v="See notes"/>
    <s v="Constant"/>
    <s v="2007/08"/>
    <s v="http://www.ofwat.gov.uk/pricereview/pr09phase3/det_pr09_finalfull.pdf"/>
    <s v="OFWAT"/>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s v="Yes"/>
    <n v="94.30002717726785"/>
    <n v="87.402889484761019"/>
    <n v="73.393690737271299"/>
    <n v="0"/>
    <n v="0"/>
    <n v="0"/>
    <n v="255.09660739930018"/>
    <n v="0"/>
    <n v="160.79658022203233"/>
  </r>
  <r>
    <x v="6"/>
    <s v="Water only companies"/>
    <s v="Water only companies"/>
    <s v="South Staffordshire Water"/>
    <m/>
    <m/>
    <s v="Maintenance and improvements to water supply infrastructure"/>
    <s v="West Midlands"/>
    <s v="Private"/>
    <s v="Yes"/>
    <s v="Private"/>
    <s v="Active Programme"/>
    <n v="2010"/>
    <n v="2015"/>
    <n v="135.10649561616975"/>
    <m/>
    <n v="30.659760836143072"/>
    <n v="26.799024570509168"/>
    <n v="22.503596082271589"/>
    <m/>
    <m/>
    <m/>
    <s v="See notes"/>
    <s v="Constant"/>
    <s v="2007/08"/>
    <s v="http://www.ofwat.gov.uk/pricereview/pr09phase3/det_pr09_finalfull.pdf"/>
    <s v="OFWAT"/>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s v="Yes"/>
    <n v="34.600009971722876"/>
    <n v="30.243109929252437"/>
    <n v="25.395653051811934"/>
    <n v="0"/>
    <n v="0"/>
    <n v="0"/>
    <n v="90.238772952787244"/>
    <n v="0"/>
    <n v="55.638762981064367"/>
  </r>
  <r>
    <x v="6"/>
    <s v="Water only companies"/>
    <s v="Water only companies"/>
    <s v="Sutton &amp; East Surrey Water"/>
    <m/>
    <m/>
    <s v="Maintenance and improvements to water supply infrastructure"/>
    <s v="South East"/>
    <s v="Private"/>
    <s v="Yes"/>
    <s v="Private"/>
    <s v="Active Programme"/>
    <n v="2010"/>
    <n v="2015"/>
    <n v="102.28259927917354"/>
    <m/>
    <n v="19.140197516204925"/>
    <n v="20.288246532612007"/>
    <n v="17.036385185819963"/>
    <m/>
    <m/>
    <m/>
    <s v="See notes"/>
    <s v="Constant"/>
    <s v="2007/08"/>
    <s v="http://www.ofwat.gov.uk/pricereview/pr09phase3/det_pr09_finalfull.pdf"/>
    <s v="OFWAT"/>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s v="Yes"/>
    <n v="21.600006225121795"/>
    <n v="22.895597134261735"/>
    <n v="19.22582176885745"/>
    <n v="0"/>
    <n v="0"/>
    <n v="0"/>
    <n v="63.72142512824098"/>
    <n v="0"/>
    <n v="42.121418903119185"/>
  </r>
  <r>
    <x v="6"/>
    <s v="Water only companies"/>
    <s v="Water only companies"/>
    <s v="Veolia Water Central "/>
    <m/>
    <m/>
    <s v="Maintenance and improvements to water supply infrastructure"/>
    <s v="South East"/>
    <s v="Private"/>
    <s v="Yes"/>
    <s v="Private"/>
    <s v="Active Programme"/>
    <n v="2010"/>
    <n v="2015"/>
    <n v="365.88908971905227"/>
    <m/>
    <n v="93.042626814885054"/>
    <n v="72.575864400472113"/>
    <n v="60.943185954133696"/>
    <m/>
    <m/>
    <m/>
    <s v="See notes"/>
    <s v="Constant"/>
    <s v="2007/08"/>
    <s v="http://www.ofwat.gov.uk/pricereview/pr09phase3/det_pr09_finalfull.pdf"/>
    <s v="OFWAT"/>
    <s v="The total (AMP5) Capex figures by companies have been published in the national document &quot;Future Water &amp; Sewerage Charges 2010-15: Final Determinations&quot;.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
    <s v="Yes"/>
    <n v="105.00003026100875"/>
    <n v="81.902975218336252"/>
    <n v="68.775319318076214"/>
    <n v="0"/>
    <n v="0"/>
    <n v="0"/>
    <n v="255.6783247974212"/>
    <n v="0"/>
    <n v="150.6782945364124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missingCaption="0" updatedVersion="3" minRefreshableVersion="3" showCalcMbrs="0" useAutoFormatting="1" itemPrintTitles="1" createdVersion="3" indent="0" outline="1" outlineData="1" multipleFieldFilters="0">
  <location ref="A3:J12" firstHeaderRow="1" firstDataRow="2" firstDataCol="1"/>
  <pivotFields count="38">
    <pivotField axis="axisRow" showAll="0">
      <items count="8">
        <item x="0"/>
        <item x="1"/>
        <item x="2"/>
        <item x="3"/>
        <item x="4"/>
        <item x="5"/>
        <item x="6"/>
        <item t="default"/>
      </items>
    </pivotField>
    <pivotField dataField="1" showAll="0"/>
    <pivotField showAll="0"/>
    <pivotField dataField="1" multipleItemSelectionAllowed="1" showAll="0"/>
    <pivotField showAll="0" defaultSubtotal="0"/>
    <pivotField dataField="1" multipleItemSelectionAllowed="1"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showAll="0" defaultSubtotal="0"/>
    <pivotField showAll="0"/>
    <pivotField dataField="1" showAll="0"/>
    <pivotField dataField="1" showAll="0"/>
    <pivotField dataField="1" showAll="0"/>
    <pivotField dataField="1" numFmtId="202" showAll="0"/>
    <pivotField dataField="1" numFmtId="202" showAll="0"/>
    <pivotField showAll="0"/>
    <pivotField showAll="0"/>
    <pivotField dataField="1" showAll="0"/>
  </pivotFields>
  <rowFields count="1">
    <field x="0"/>
  </rowFields>
  <rowItems count="8">
    <i>
      <x/>
    </i>
    <i>
      <x v="1"/>
    </i>
    <i>
      <x v="2"/>
    </i>
    <i>
      <x v="3"/>
    </i>
    <i>
      <x v="4"/>
    </i>
    <i>
      <x v="5"/>
    </i>
    <i>
      <x v="6"/>
    </i>
    <i t="grand">
      <x/>
    </i>
  </rowItems>
  <colFields count="1">
    <field x="-2"/>
  </colFields>
  <colItems count="9">
    <i>
      <x/>
    </i>
    <i i="1">
      <x v="1"/>
    </i>
    <i i="2">
      <x v="2"/>
    </i>
    <i i="3">
      <x v="3"/>
    </i>
    <i i="4">
      <x v="4"/>
    </i>
    <i i="5">
      <x v="5"/>
    </i>
    <i i="6">
      <x v="6"/>
    </i>
    <i i="7">
      <x v="7"/>
    </i>
    <i i="8">
      <x v="8"/>
    </i>
  </colItems>
  <dataFields count="9">
    <dataField name="Count of projects and programmes" fld="1" subtotal="count" baseField="0" baseItem="0"/>
    <dataField name="Count of projects" fld="5" subtotal="count" baseField="0" baseItem="0"/>
    <dataField name="Count of programmes" fld="3" subtotal="count" baseField="0" baseItem="0"/>
    <dataField name="Sum of 2013/14c" fld="30" baseField="0" baseItem="0" numFmtId="205"/>
    <dataField name="Sum of 2014/15c" fld="31" baseField="0" baseItem="0" numFmtId="205"/>
    <dataField name="Sum of 2015/16c" fld="32" baseField="0" baseItem="0" numFmtId="205"/>
    <dataField name="Sum of 2016 to 2020c" fld="33" baseField="0" baseItem="0" numFmtId="205"/>
    <dataField name="Sum of beyond 2020c" fld="34" baseField="0" baseItem="0" numFmtId="205"/>
    <dataField name="Sum of 2013 onwards" fld="37" baseField="0" baseItem="0" numFmtId="205"/>
  </dataFields>
  <formats count="9">
    <format dxfId="115">
      <pivotArea field="0" type="button" dataOnly="0" labelOnly="1" outline="0" axis="axisRow" fieldPosition="0"/>
    </format>
    <format dxfId="114">
      <pivotArea dataOnly="0" labelOnly="1" outline="0" fieldPosition="0">
        <references count="1">
          <reference field="4294967294" count="9">
            <x v="0"/>
            <x v="1"/>
            <x v="2"/>
            <x v="3"/>
            <x v="4"/>
            <x v="5"/>
            <x v="6"/>
            <x v="7"/>
            <x v="8"/>
          </reference>
        </references>
      </pivotArea>
    </format>
    <format dxfId="113">
      <pivotArea type="topRight" dataOnly="0" labelOnly="1" outline="0" offset="C1:D1" fieldPosition="0"/>
    </format>
    <format dxfId="112">
      <pivotArea field="0" type="button" dataOnly="0" labelOnly="1" outline="0" axis="axisRow" fieldPosition="0"/>
    </format>
    <format dxfId="111">
      <pivotArea dataOnly="0" labelOnly="1" outline="0" fieldPosition="0">
        <references count="1">
          <reference field="4294967294" count="9">
            <x v="0"/>
            <x v="1"/>
            <x v="2"/>
            <x v="3"/>
            <x v="4"/>
            <x v="5"/>
            <x v="6"/>
            <x v="7"/>
            <x v="8"/>
          </reference>
        </references>
      </pivotArea>
    </format>
    <format dxfId="110">
      <pivotArea field="0" type="button" dataOnly="0" labelOnly="1" outline="0" axis="axisRow" fieldPosition="0"/>
    </format>
    <format dxfId="109">
      <pivotArea dataOnly="0" labelOnly="1" outline="0" fieldPosition="0">
        <references count="1">
          <reference field="4294967294" count="9">
            <x v="0"/>
            <x v="1"/>
            <x v="2"/>
            <x v="3"/>
            <x v="4"/>
            <x v="5"/>
            <x v="6"/>
            <x v="7"/>
            <x v="8"/>
          </reference>
        </references>
      </pivotArea>
    </format>
    <format dxfId="108">
      <pivotArea field="0" type="button" dataOnly="0" labelOnly="1" outline="0" axis="axisRow" fieldPosition="0"/>
    </format>
    <format dxfId="107">
      <pivotArea dataOnly="0" labelOnly="1" outline="0" fieldPosition="0">
        <references count="1">
          <reference field="4294967294" count="9">
            <x v="0"/>
            <x v="1"/>
            <x v="2"/>
            <x v="3"/>
            <x v="4"/>
            <x v="5"/>
            <x v="6"/>
            <x v="7"/>
            <x v="8"/>
          </reference>
        </references>
      </pivotArea>
    </format>
  </formats>
  <pivotTableStyleInfo name="PivotStyleLight16" showRowHeaders="1" showColHeaders="1" showRowStripes="0" showColStripes="0" showLastColumn="1"/>
</pivotTableDefinition>
</file>

<file path=xl/tables/table1.xml><?xml version="1.0" encoding="utf-8"?>
<table xmlns="http://schemas.openxmlformats.org/spreadsheetml/2006/main" id="3" name="NIP_Pipeline" displayName="NIP_Pipeline" ref="A1:AC648" totalsRowCount="1" headerRowDxfId="106" dataDxfId="105" totalsRowDxfId="103" tableBorderDxfId="104" totalsRowBorderDxfId="102">
  <tableColumns count="29">
    <tableColumn id="30" name="Sector" dataDxfId="101" totalsRowDxfId="100" dataCellStyle="Normal 2 13"/>
    <tableColumn id="33" name="Sub-Sector" dataDxfId="99" totalsRowDxfId="98" dataCellStyle="Normal 2 13"/>
    <tableColumn id="35" name="Sub-Group" dataDxfId="97" totalsRowDxfId="96" dataCellStyle="Normal 4"/>
    <tableColumn id="1" name="Programme name" dataDxfId="95" totalsRowDxfId="94" dataCellStyle="Normal 2 13"/>
    <tableColumn id="48" name="No. of projects in programme" dataDxfId="93" totalsRowDxfId="92" dataCellStyle="Normal 2 13"/>
    <tableColumn id="56" name="Project Name" dataDxfId="91" totalsRowDxfId="90" dataCellStyle="Normal 2 13"/>
    <tableColumn id="2" name="Project Summary" dataDxfId="89" totalsRowDxfId="88" dataCellStyle="Normal 2 13"/>
    <tableColumn id="23" name="Region" dataDxfId="87" totalsRowDxfId="86" dataCellStyle="%"/>
    <tableColumn id="3" name="Asset Ownership" dataDxfId="85" totalsRowDxfId="84" dataCellStyle="Normal 2 13"/>
    <tableColumn id="4" name="EcoNomically regulated asset" dataDxfId="83" totalsRowDxfId="82" dataCellStyle="%"/>
    <tableColumn id="5" name="Funding Source(s)" dataDxfId="81" totalsRowDxfId="80" dataCellStyle="Normal 2 13"/>
    <tableColumn id="42" name="Scheme Status" dataDxfId="79" totalsRowDxfId="78" dataCellStyle="%"/>
    <tableColumn id="70" name="Start of Works Projected (Construction)" dataDxfId="77" totalsRowDxfId="76" dataCellStyle="% 3"/>
    <tableColumn id="72" name="Date in service (Projected)" dataDxfId="75" totalsRowDxfId="74" dataCellStyle="% 3"/>
    <tableColumn id="11" name="Total capex cost all funding (£m)" dataDxfId="73" totalsRowDxfId="72" dataCellStyle="% 3"/>
    <tableColumn id="12" name="Total capex cost publicly funded, if different (£m)" totalsRowFunction="sum" dataDxfId="71" totalsRowDxfId="70" dataCellStyle="% 3"/>
    <tableColumn id="19" name="2012/13 (£m)" totalsRowFunction="sum" dataDxfId="69" totalsRowDxfId="68" dataCellStyle="% 3"/>
    <tableColumn id="18" name="2013/14 (£m)" totalsRowFunction="sum" dataDxfId="67" totalsRowDxfId="66" dataCellStyle="% 3"/>
    <tableColumn id="17" name="2014/15 (£m)" totalsRowFunction="sum" dataDxfId="65" totalsRowDxfId="64" dataCellStyle="% 3"/>
    <tableColumn id="36" name="2015/16 (£m)" totalsRowFunction="sum" dataDxfId="63" totalsRowDxfId="62" dataCellStyle="% 3"/>
    <tableColumn id="9" name="Total 2016/17 to 2019/20 (£m)" totalsRowFunction="sum" dataDxfId="61" totalsRowDxfId="60" dataCellStyle="% 3"/>
    <tableColumn id="258" name="2020/21 and Beyond  (£m)" totalsRowFunction="sum" dataDxfId="59" totalsRowDxfId="58" dataCellStyle="% 3"/>
    <tableColumn id="22" name="Estimate status" dataDxfId="57" totalsRowDxfId="56" dataCellStyle="Normal 2 13"/>
    <tableColumn id="13" name="Basis of costs" dataDxfId="55" totalsRowDxfId="54" dataCellStyle="% 3"/>
    <tableColumn id="27" name="Base Year" dataDxfId="53" totalsRowDxfId="52" dataCellStyle="Normal_Pipeline_consolidated 2"/>
    <tableColumn id="53" name="Web address for further information" dataDxfId="51" totalsRowDxfId="50" dataCellStyle="Normal_Pipeline_consolidated 2"/>
    <tableColumn id="14" name="Data source(s)" dataDxfId="49" totalsRowDxfId="48" dataCellStyle="Normal 2 13"/>
    <tableColumn id="15" name="Notes (including details where &quot;other&quot; given in response to earlier questions)" dataDxfId="47" totalsRowDxfId="46" dataCellStyle="Normal 2 13"/>
    <tableColumn id="43" name="Top 40 Project" totalsRowFunction="count" dataDxfId="45" totalsRowDxfId="44"/>
  </tableColumns>
  <tableStyleInfo name="TableStyleMedium9" showFirstColumn="0" showLastColumn="0" showRowStripes="1" showColumnStripes="0"/>
</table>
</file>

<file path=xl/tables/table2.xml><?xml version="1.0" encoding="utf-8"?>
<table xmlns="http://schemas.openxmlformats.org/spreadsheetml/2006/main" id="2" name="deflator" displayName="deflator" ref="A1:AE2" totalsRowShown="0" headerRowDxfId="43" dataDxfId="42" headerRowCellStyle="Normal 3" dataCellStyle="Normal 3">
  <autoFilter ref="A1:AE2"/>
  <tableColumns count="31">
    <tableColumn id="1" name="Deflator" dataDxfId="41" dataCellStyle="Normal 3">
      <calculatedColumnFormula>_deflator</calculatedColumnFormula>
    </tableColumn>
    <tableColumn id="2" name="1992/93" dataDxfId="40" dataCellStyle="Normal 3">
      <calculatedColumnFormula>IF(_deflator="GDP",B6,IF(_deflator="RPI",B7,IF(_deflator="CPI",B8,"Err")))</calculatedColumnFormula>
    </tableColumn>
    <tableColumn id="3" name="1994/93" dataDxfId="39" dataCellStyle="Normal 3">
      <calculatedColumnFormula>IF(_deflator="GDP",C6,IF(_deflator="RPI",C7,IF(_deflator="CPI",C8,"Err")))</calculatedColumnFormula>
    </tableColumn>
    <tableColumn id="4" name="1994/95" dataDxfId="38" dataCellStyle="Normal 3">
      <calculatedColumnFormula>IF(_deflator="GDP",D6,IF(_deflator="RPI",D7,IF(_deflator="CPI",D8,"Err")))</calculatedColumnFormula>
    </tableColumn>
    <tableColumn id="5" name="1995/96" dataDxfId="37" dataCellStyle="Normal 3">
      <calculatedColumnFormula>IF(_deflator="GDP",E6,IF(_deflator="RPI",E7,IF(_deflator="CPI",E8,"Err")))</calculatedColumnFormula>
    </tableColumn>
    <tableColumn id="6" name="1996/97" dataDxfId="36" dataCellStyle="Normal 3">
      <calculatedColumnFormula>IF(_deflator="GDP",F6,IF(_deflator="RPI",F7,IF(_deflator="CPI",F8,"Err")))</calculatedColumnFormula>
    </tableColumn>
    <tableColumn id="7" name="1997/98" dataDxfId="35" dataCellStyle="Normal 3">
      <calculatedColumnFormula>IF(_deflator="GDP",G6,IF(_deflator="RPI",G7,IF(_deflator="CPI",G8,"Err")))</calculatedColumnFormula>
    </tableColumn>
    <tableColumn id="8" name="1998/99" dataDxfId="34" dataCellStyle="Normal 3">
      <calculatedColumnFormula>IF(_deflator="GDP",H6,IF(_deflator="RPI",H7,IF(_deflator="CPI",H8,"Err")))</calculatedColumnFormula>
    </tableColumn>
    <tableColumn id="9" name="1999/00" dataDxfId="33" dataCellStyle="Normal 3">
      <calculatedColumnFormula>IF(_deflator="GDP",I6,IF(_deflator="RPI",I7,IF(_deflator="CPI",I8,"Err")))</calculatedColumnFormula>
    </tableColumn>
    <tableColumn id="10" name="2000/01" dataDxfId="32" dataCellStyle="Normal 3">
      <calculatedColumnFormula>IF(_deflator="GDP",J6,IF(_deflator="RPI",J7,IF(_deflator="CPI",J8,"Err")))</calculatedColumnFormula>
    </tableColumn>
    <tableColumn id="11" name="2001/02" dataDxfId="31" dataCellStyle="Normal 3">
      <calculatedColumnFormula>IF(_deflator="GDP",K6,IF(_deflator="RPI",K7,IF(_deflator="CPI",K8,"Err")))</calculatedColumnFormula>
    </tableColumn>
    <tableColumn id="12" name="2002/03" dataDxfId="30" dataCellStyle="Normal 3">
      <calculatedColumnFormula>IF(_deflator="GDP",L6,IF(_deflator="RPI",L7,IF(_deflator="CPI",L8,"Err")))</calculatedColumnFormula>
    </tableColumn>
    <tableColumn id="13" name="2003/04" dataDxfId="29" dataCellStyle="Normal 3">
      <calculatedColumnFormula>IF(_deflator="GDP",M6,IF(_deflator="RPI",M7,IF(_deflator="CPI",M8,"Err")))</calculatedColumnFormula>
    </tableColumn>
    <tableColumn id="14" name="2004/05" dataDxfId="28" dataCellStyle="Normal 3">
      <calculatedColumnFormula>IF(_deflator="GDP",N6,IF(_deflator="RPI",N7,IF(_deflator="CPI",N8,"Err")))</calculatedColumnFormula>
    </tableColumn>
    <tableColumn id="15" name="2005/06" dataDxfId="27" dataCellStyle="Normal 3">
      <calculatedColumnFormula>IF(_deflator="GDP",O6,IF(_deflator="RPI",O7,IF(_deflator="CPI",O8,"Err")))</calculatedColumnFormula>
    </tableColumn>
    <tableColumn id="16" name="2006/07" dataDxfId="26" dataCellStyle="Normal 3">
      <calculatedColumnFormula>IF(_deflator="GDP",P6,IF(_deflator="RPI",P7,IF(_deflator="CPI",P8,"Err")))</calculatedColumnFormula>
    </tableColumn>
    <tableColumn id="17" name="2007/08" dataDxfId="25" dataCellStyle="Normal 3">
      <calculatedColumnFormula>IF(_deflator="GDP",Q6,IF(_deflator="RPI",Q7,IF(_deflator="CPI",Q8,"Err")))</calculatedColumnFormula>
    </tableColumn>
    <tableColumn id="18" name="2008/09" dataDxfId="24" dataCellStyle="Normal 3">
      <calculatedColumnFormula>IF(_deflator="GDP",R6,IF(_deflator="RPI",R7,IF(_deflator="CPI",R8,"Err")))</calculatedColumnFormula>
    </tableColumn>
    <tableColumn id="19" name="2009/10" dataDxfId="23" dataCellStyle="Normal 3">
      <calculatedColumnFormula>IF(_deflator="GDP",S6,IF(_deflator="RPI",S7,IF(_deflator="CPI",S8,"Err")))</calculatedColumnFormula>
    </tableColumn>
    <tableColumn id="20" name="2010/11" dataDxfId="22" dataCellStyle="Normal 3">
      <calculatedColumnFormula>IF(_deflator="GDP",T6,IF(_deflator="RPI",T7,IF(_deflator="CPI",T8,"Err")))</calculatedColumnFormula>
    </tableColumn>
    <tableColumn id="21" name="2011/12" dataDxfId="21" dataCellStyle="Normal 3">
      <calculatedColumnFormula>IF(_deflator="GDP",U6,IF(_deflator="RPI",U7,IF(_deflator="CPI",U8,"Err")))</calculatedColumnFormula>
    </tableColumn>
    <tableColumn id="22" name="2012/13" dataDxfId="20" dataCellStyle="Normal 3">
      <calculatedColumnFormula>IF(_deflator="GDP",V6,IF(_deflator="RPI",V7,IF(_deflator="CPI",V8,"Err")))</calculatedColumnFormula>
    </tableColumn>
    <tableColumn id="23" name="2013/14" dataDxfId="19" dataCellStyle="Normal 3">
      <calculatedColumnFormula>IF(_deflator="GDP",W6,IF(_deflator="RPI",W7,IF(_deflator="CPI",W8,"Err")))</calculatedColumnFormula>
    </tableColumn>
    <tableColumn id="24" name="2014/15" dataDxfId="18" dataCellStyle="Normal 3">
      <calculatedColumnFormula>IF(_deflator="GDP",X6,IF(_deflator="RPI",X7,IF(_deflator="CPI",X8,"Err")))</calculatedColumnFormula>
    </tableColumn>
    <tableColumn id="25" name="2015/16" dataDxfId="17" dataCellStyle="Normal 3">
      <calculatedColumnFormula>IF(_deflator="GDP",Y6,IF(_deflator="RPI",Y7,IF(_deflator="CPI",Y8,"Err")))</calculatedColumnFormula>
    </tableColumn>
    <tableColumn id="26" name="2016/17" dataDxfId="16" dataCellStyle="Normal 3">
      <calculatedColumnFormula>IF(_deflator="GDP",Z6,IF(_deflator="RPI",Z7,IF(_deflator="CPI",Z8,"Err")))</calculatedColumnFormula>
    </tableColumn>
    <tableColumn id="27" name="2017/18" dataDxfId="15" dataCellStyle="Normal 3">
      <calculatedColumnFormula>IF(_deflator="GDP",AA6,IF(_deflator="RPI",AA7,IF(_deflator="CPI",AA8,"Err")))</calculatedColumnFormula>
    </tableColumn>
    <tableColumn id="28" name="2018/19" dataDxfId="14" dataCellStyle="Normal 3">
      <calculatedColumnFormula>IF(_deflator="GDP",AB6,IF(_deflator="RPI",AB7,IF(_deflator="CPI",AB8,"Err")))</calculatedColumnFormula>
    </tableColumn>
    <tableColumn id="29" name="2019/20" dataDxfId="13" dataCellStyle="Normal 3">
      <calculatedColumnFormula>IF(_deflator="GDP",AC6,IF(_deflator="RPI",AC7,IF(_deflator="CPI",AC8,"Err")))</calculatedColumnFormula>
    </tableColumn>
    <tableColumn id="30" name="2020/21" dataDxfId="12" dataCellStyle="Normal 3">
      <calculatedColumnFormula>IF(_deflator="GDP",AD6,IF(_deflator="RPI",AD7,IF(_deflator="CPI",AD8,"Err")))</calculatedColumnFormula>
    </tableColumn>
    <tableColumn id="31" name="2021/22" dataDxfId="11" dataCellStyle="Normal 3">
      <calculatedColumnFormula>IF(_deflator="GDP",AE6,IF(_deflator="RPI",AE7,IF(_deflator="CPI",AE8,"Err")))</calculatedColumnFormula>
    </tableColumn>
  </tableColumns>
  <tableStyleInfo name="TableStyleLight4" showFirstColumn="0" showLastColumn="0" showRowStripes="1" showColumnStripes="0"/>
</table>
</file>

<file path=xl/tables/table3.xml><?xml version="1.0" encoding="utf-8"?>
<table xmlns="http://schemas.openxmlformats.org/spreadsheetml/2006/main" id="4" name="Table4" displayName="Table4" ref="L13:M14" totalsRowShown="0" headerRowDxfId="10" dataDxfId="9" headerRowCellStyle="Normal 3" dataCellStyle="Normal 3">
  <autoFilter ref="L13:M14"/>
  <tableColumns count="2">
    <tableColumn id="1" name="Variable" dataDxfId="8" dataCellStyle="Normal 3"/>
    <tableColumn id="2" name="Baseyear" dataDxfId="7" dataCellStyle="Normal 3"/>
  </tableColumns>
  <tableStyleInfo name="TableStyleLight7" showFirstColumn="0" showLastColumn="0" showRowStripes="1" showColumnStripes="0"/>
</table>
</file>

<file path=xl/tables/table4.xml><?xml version="1.0" encoding="utf-8"?>
<table xmlns="http://schemas.openxmlformats.org/spreadsheetml/2006/main" id="5" name="Notes" displayName="Notes" ref="A2:B12" headerRowCount="0" totalsRowShown="0" headerRowDxfId="6" dataDxfId="5" tableBorderDxfId="4">
  <sortState ref="A2:B11">
    <sortCondition ref="A2:A11"/>
  </sortState>
  <tableColumns count="2">
    <tableColumn id="1" name="Sector" headerRowDxfId="3" dataDxfId="2"/>
    <tableColumn id="2" name="2013 Infrastructure Pipeline Notes" headerRowDxfId="1"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6" Type="http://schemas.openxmlformats.org/officeDocument/2006/relationships/hyperlink" Target="http://www.westernpower.co.uk/" TargetMode="External"/><Relationship Id="rId21" Type="http://schemas.openxmlformats.org/officeDocument/2006/relationships/hyperlink" Target="http://www.sse.com/Home" TargetMode="External"/><Relationship Id="rId42" Type="http://schemas.openxmlformats.org/officeDocument/2006/relationships/hyperlink" Target="http://www.norfolk.gov.uk/Travel_and_transport/Transport_future_for_Norfolk/Transport_for_Norwich/Northern_Distributor_Road_and_Postwick_Junction/index.htm" TargetMode="External"/><Relationship Id="rId47" Type="http://schemas.openxmlformats.org/officeDocument/2006/relationships/hyperlink" Target="http://www.dft.gov.uk/" TargetMode="External"/><Relationship Id="rId63" Type="http://schemas.openxmlformats.org/officeDocument/2006/relationships/hyperlink" Target="https://www.gov.uk/government/organisations/department-of-energy-climate-change" TargetMode="External"/><Relationship Id="rId68" Type="http://schemas.openxmlformats.org/officeDocument/2006/relationships/hyperlink" Target="https://www.gov.uk/government/organisations/department-of-energy-climate-change" TargetMode="External"/><Relationship Id="rId84" Type="http://schemas.openxmlformats.org/officeDocument/2006/relationships/hyperlink" Target="http://www.sellafieldsites.com/" TargetMode="External"/><Relationship Id="rId89" Type="http://schemas.openxmlformats.org/officeDocument/2006/relationships/hyperlink" Target="http://www.sellafieldsites.com/" TargetMode="External"/><Relationship Id="rId112" Type="http://schemas.openxmlformats.org/officeDocument/2006/relationships/table" Target="../tables/table1.xml"/><Relationship Id="rId2" Type="http://schemas.openxmlformats.org/officeDocument/2006/relationships/hyperlink" Target="http://www.ukpowernetworks.co.uk/" TargetMode="External"/><Relationship Id="rId16" Type="http://schemas.openxmlformats.org/officeDocument/2006/relationships/hyperlink" Target="http://www.northernpowergrid.com/" TargetMode="External"/><Relationship Id="rId29" Type="http://schemas.openxmlformats.org/officeDocument/2006/relationships/hyperlink" Target="http://www.dft.gov.uk/" TargetMode="External"/><Relationship Id="rId107" Type="http://schemas.openxmlformats.org/officeDocument/2006/relationships/hyperlink" Target="http://www.magnoxsites.co.uk/" TargetMode="External"/><Relationship Id="rId11" Type="http://schemas.openxmlformats.org/officeDocument/2006/relationships/hyperlink" Target="http://www.lydd-airport.co.uk/" TargetMode="External"/><Relationship Id="rId24" Type="http://schemas.openxmlformats.org/officeDocument/2006/relationships/hyperlink" Target="http://www.ukpowernetworks.co.uk/" TargetMode="External"/><Relationship Id="rId32" Type="http://schemas.openxmlformats.org/officeDocument/2006/relationships/hyperlink" Target="http://www.sse.com/Beaulykintore" TargetMode="External"/><Relationship Id="rId37" Type="http://schemas.openxmlformats.org/officeDocument/2006/relationships/hyperlink" Target="http://www.sse.com/" TargetMode="External"/><Relationship Id="rId40" Type="http://schemas.openxmlformats.org/officeDocument/2006/relationships/hyperlink" Target="http://www.thetram.net/" TargetMode="External"/><Relationship Id="rId45" Type="http://schemas.openxmlformats.org/officeDocument/2006/relationships/hyperlink" Target="http://nxbus.co.uk/the-metro/" TargetMode="External"/><Relationship Id="rId53" Type="http://schemas.openxmlformats.org/officeDocument/2006/relationships/hyperlink" Target="https://www.ofgem.gov.uk/network-regulation-%E2%80%93-riio-model/riio-ed1-price-control" TargetMode="External"/><Relationship Id="rId58" Type="http://schemas.openxmlformats.org/officeDocument/2006/relationships/hyperlink" Target="https://www.gov.uk/government/organisations/department-of-energy-climate-change" TargetMode="External"/><Relationship Id="rId66" Type="http://schemas.openxmlformats.org/officeDocument/2006/relationships/hyperlink" Target="https://www.gov.uk/government/organisations/department-of-energy-climate-change" TargetMode="External"/><Relationship Id="rId74" Type="http://schemas.openxmlformats.org/officeDocument/2006/relationships/hyperlink" Target="https://www.gov.uk/government/organisations/department-of-energy-climate-change" TargetMode="External"/><Relationship Id="rId79" Type="http://schemas.openxmlformats.org/officeDocument/2006/relationships/hyperlink" Target="https://www.gov.uk/government/organisations/department-of-energy-climate-change" TargetMode="External"/><Relationship Id="rId87" Type="http://schemas.openxmlformats.org/officeDocument/2006/relationships/hyperlink" Target="http://www.sellafieldsites.com/" TargetMode="External"/><Relationship Id="rId102" Type="http://schemas.openxmlformats.org/officeDocument/2006/relationships/hyperlink" Target="http://www.sellafieldsites.com/" TargetMode="External"/><Relationship Id="rId110" Type="http://schemas.openxmlformats.org/officeDocument/2006/relationships/hyperlink" Target="http://www.research-sites.com/" TargetMode="External"/><Relationship Id="rId5" Type="http://schemas.openxmlformats.org/officeDocument/2006/relationships/hyperlink" Target="http://www.gatwickairport.com/?attach_external_tab&amp;123205888&amp;4&amp;0&amp;0&amp;0&amp;0&amp;Google%20Chrome%20Frame" TargetMode="External"/><Relationship Id="rId61" Type="http://schemas.openxmlformats.org/officeDocument/2006/relationships/hyperlink" Target="https://www.gov.uk/government/organisations/department-of-energy-climate-change" TargetMode="External"/><Relationship Id="rId82" Type="http://schemas.openxmlformats.org/officeDocument/2006/relationships/hyperlink" Target="http://www.nda.gov.uk/" TargetMode="External"/><Relationship Id="rId90" Type="http://schemas.openxmlformats.org/officeDocument/2006/relationships/hyperlink" Target="http://www.sellafieldsites.com/" TargetMode="External"/><Relationship Id="rId95" Type="http://schemas.openxmlformats.org/officeDocument/2006/relationships/hyperlink" Target="http://www.sellafieldsites.com/" TargetMode="External"/><Relationship Id="rId19" Type="http://schemas.openxmlformats.org/officeDocument/2006/relationships/hyperlink" Target="http://www.sse.com/Home" TargetMode="External"/><Relationship Id="rId14" Type="http://schemas.openxmlformats.org/officeDocument/2006/relationships/hyperlink" Target="http://www.superfastcornwall.org/" TargetMode="External"/><Relationship Id="rId22" Type="http://schemas.openxmlformats.org/officeDocument/2006/relationships/hyperlink" Target="http://www.sppowersystems.com/" TargetMode="External"/><Relationship Id="rId27" Type="http://schemas.openxmlformats.org/officeDocument/2006/relationships/hyperlink" Target="http://www.dft.gov.uk/" TargetMode="External"/><Relationship Id="rId30" Type="http://schemas.openxmlformats.org/officeDocument/2006/relationships/hyperlink" Target="http://www.dft.gov.uk/" TargetMode="External"/><Relationship Id="rId35" Type="http://schemas.openxmlformats.org/officeDocument/2006/relationships/hyperlink" Target="http://www.sse.com/KintyreHunterston" TargetMode="External"/><Relationship Id="rId43" Type="http://schemas.openxmlformats.org/officeDocument/2006/relationships/hyperlink" Target="https://www.gov.uk/government/publications/sunderland-strategic-transport-corridor-new-wear-bridge" TargetMode="External"/><Relationship Id="rId48" Type="http://schemas.openxmlformats.org/officeDocument/2006/relationships/hyperlink" Target="http://www.merseygateway.co.uk/" TargetMode="External"/><Relationship Id="rId56" Type="http://schemas.openxmlformats.org/officeDocument/2006/relationships/hyperlink" Target="https://www.gov.uk/government/organisations/department-of-energy-climate-change" TargetMode="External"/><Relationship Id="rId64" Type="http://schemas.openxmlformats.org/officeDocument/2006/relationships/hyperlink" Target="https://www.gov.uk/government/organisations/department-of-energy-climate-change" TargetMode="External"/><Relationship Id="rId69" Type="http://schemas.openxmlformats.org/officeDocument/2006/relationships/hyperlink" Target="https://www.gov.uk/government/organisations/department-of-energy-climate-change" TargetMode="External"/><Relationship Id="rId77" Type="http://schemas.openxmlformats.org/officeDocument/2006/relationships/hyperlink" Target="https://www.gov.uk/government/organisations/department-of-energy-climate-change" TargetMode="External"/><Relationship Id="rId100" Type="http://schemas.openxmlformats.org/officeDocument/2006/relationships/hyperlink" Target="http://www.sellafieldsites.com/" TargetMode="External"/><Relationship Id="rId105" Type="http://schemas.openxmlformats.org/officeDocument/2006/relationships/hyperlink" Target="http://www.magnoxsites.co.uk/" TargetMode="External"/><Relationship Id="rId8" Type="http://schemas.openxmlformats.org/officeDocument/2006/relationships/hyperlink" Target="http://www.caa.co.uk/homepage.aspx" TargetMode="External"/><Relationship Id="rId51" Type="http://schemas.openxmlformats.org/officeDocument/2006/relationships/hyperlink" Target="https://restats.decc.gov.uk/app/reporting/decc/monthlyextract" TargetMode="External"/><Relationship Id="rId72" Type="http://schemas.openxmlformats.org/officeDocument/2006/relationships/hyperlink" Target="https://www.gov.uk/government/organisations/department-of-energy-climate-change" TargetMode="External"/><Relationship Id="rId80" Type="http://schemas.openxmlformats.org/officeDocument/2006/relationships/hyperlink" Target="https://www.gov.uk/government/organisations/department-of-energy-climate-change" TargetMode="External"/><Relationship Id="rId85" Type="http://schemas.openxmlformats.org/officeDocument/2006/relationships/hyperlink" Target="http://www.sellafieldsites.com/" TargetMode="External"/><Relationship Id="rId93" Type="http://schemas.openxmlformats.org/officeDocument/2006/relationships/hyperlink" Target="http://www.sellafieldsites.com/" TargetMode="External"/><Relationship Id="rId98" Type="http://schemas.openxmlformats.org/officeDocument/2006/relationships/hyperlink" Target="http://www.sellafieldsites.com/" TargetMode="External"/><Relationship Id="rId3" Type="http://schemas.openxmlformats.org/officeDocument/2006/relationships/hyperlink" Target="http://www.birminghamairport.co.uk/" TargetMode="External"/><Relationship Id="rId12" Type="http://schemas.openxmlformats.org/officeDocument/2006/relationships/hyperlink" Target="http://www.crossrail.co.uk/" TargetMode="External"/><Relationship Id="rId17" Type="http://schemas.openxmlformats.org/officeDocument/2006/relationships/hyperlink" Target="http://www.enwl.co.uk/" TargetMode="External"/><Relationship Id="rId25" Type="http://schemas.openxmlformats.org/officeDocument/2006/relationships/hyperlink" Target="http://www.westernpower.co.uk/" TargetMode="External"/><Relationship Id="rId33" Type="http://schemas.openxmlformats.org/officeDocument/2006/relationships/hyperlink" Target="http://www.sse.com/dounreaybeauly" TargetMode="External"/><Relationship Id="rId38" Type="http://schemas.openxmlformats.org/officeDocument/2006/relationships/hyperlink" Target="http://www.glasgowairport.com/" TargetMode="External"/><Relationship Id="rId46" Type="http://schemas.openxmlformats.org/officeDocument/2006/relationships/hyperlink" Target="http://www.dft.gov.uk/" TargetMode="External"/><Relationship Id="rId59" Type="http://schemas.openxmlformats.org/officeDocument/2006/relationships/hyperlink" Target="https://www.gov.uk/government/organisations/department-of-energy-climate-change" TargetMode="External"/><Relationship Id="rId67" Type="http://schemas.openxmlformats.org/officeDocument/2006/relationships/hyperlink" Target="https://www.gov.uk/government/organisations/department-of-energy-climate-change" TargetMode="External"/><Relationship Id="rId103" Type="http://schemas.openxmlformats.org/officeDocument/2006/relationships/hyperlink" Target="http://www.sellafieldsites.com/" TargetMode="External"/><Relationship Id="rId108" Type="http://schemas.openxmlformats.org/officeDocument/2006/relationships/hyperlink" Target="http://www.magnoxsites.co.uk/" TargetMode="External"/><Relationship Id="rId20" Type="http://schemas.openxmlformats.org/officeDocument/2006/relationships/hyperlink" Target="http://www.westernpower.co.uk/" TargetMode="External"/><Relationship Id="rId41" Type="http://schemas.openxmlformats.org/officeDocument/2006/relationships/hyperlink" Target="http://www.ngtmetro.com/" TargetMode="External"/><Relationship Id="rId54" Type="http://schemas.openxmlformats.org/officeDocument/2006/relationships/hyperlink" Target="https://www.gov.uk/government/organisations/department-for-culture-media-sport" TargetMode="External"/><Relationship Id="rId62" Type="http://schemas.openxmlformats.org/officeDocument/2006/relationships/hyperlink" Target="https://www.gov.uk/government/organisations/department-of-energy-climate-change" TargetMode="External"/><Relationship Id="rId70" Type="http://schemas.openxmlformats.org/officeDocument/2006/relationships/hyperlink" Target="https://www.gov.uk/government/organisations/department-of-energy-climate-change" TargetMode="External"/><Relationship Id="rId75" Type="http://schemas.openxmlformats.org/officeDocument/2006/relationships/hyperlink" Target="https://www.gov.uk/government/organisations/department-of-energy-climate-change" TargetMode="External"/><Relationship Id="rId83" Type="http://schemas.openxmlformats.org/officeDocument/2006/relationships/hyperlink" Target="http://www.sellafieldsites.com/" TargetMode="External"/><Relationship Id="rId88" Type="http://schemas.openxmlformats.org/officeDocument/2006/relationships/hyperlink" Target="http://www.sellafieldsites.com/" TargetMode="External"/><Relationship Id="rId91" Type="http://schemas.openxmlformats.org/officeDocument/2006/relationships/hyperlink" Target="http://www.sellafieldsites.com/" TargetMode="External"/><Relationship Id="rId96" Type="http://schemas.openxmlformats.org/officeDocument/2006/relationships/hyperlink" Target="http://www.sellafieldsites.com/" TargetMode="External"/><Relationship Id="rId111" Type="http://schemas.openxmlformats.org/officeDocument/2006/relationships/printerSettings" Target="../printerSettings/printerSettings2.bin"/><Relationship Id="rId1" Type="http://schemas.openxmlformats.org/officeDocument/2006/relationships/hyperlink" Target="http://www.crick.ac.uk/" TargetMode="External"/><Relationship Id="rId6" Type="http://schemas.openxmlformats.org/officeDocument/2006/relationships/hyperlink" Target="http://www.caa.co.uk/application.aspx?catid=33&amp;pagetype=65&amp;appid=11&amp;mode=detail&amp;id=5783" TargetMode="External"/><Relationship Id="rId15" Type="http://schemas.openxmlformats.org/officeDocument/2006/relationships/hyperlink" Target="http://www.northernpowergrid.com/" TargetMode="External"/><Relationship Id="rId23" Type="http://schemas.openxmlformats.org/officeDocument/2006/relationships/hyperlink" Target="http://www.ukpowernetworks.co.uk/" TargetMode="External"/><Relationship Id="rId28" Type="http://schemas.openxmlformats.org/officeDocument/2006/relationships/hyperlink" Target="http://www.dft.gov.uk/" TargetMode="External"/><Relationship Id="rId36" Type="http://schemas.openxmlformats.org/officeDocument/2006/relationships/hyperlink" Target="http://www.sse.com/" TargetMode="External"/><Relationship Id="rId49" Type="http://schemas.openxmlformats.org/officeDocument/2006/relationships/hyperlink" Target="http://www.metrolink.co.uk/FUTUREMETROLINK/Pages/default.aspx" TargetMode="External"/><Relationship Id="rId57" Type="http://schemas.openxmlformats.org/officeDocument/2006/relationships/hyperlink" Target="https://www.gov.uk/government/organisations/department-of-energy-climate-change" TargetMode="External"/><Relationship Id="rId106" Type="http://schemas.openxmlformats.org/officeDocument/2006/relationships/hyperlink" Target="http://www.magnoxsites.co.uk/" TargetMode="External"/><Relationship Id="rId10" Type="http://schemas.openxmlformats.org/officeDocument/2006/relationships/hyperlink" Target="http://www.glasgowairport.com/" TargetMode="External"/><Relationship Id="rId31" Type="http://schemas.openxmlformats.org/officeDocument/2006/relationships/hyperlink" Target="http://www.sse.com/BeaulyDenny" TargetMode="External"/><Relationship Id="rId44" Type="http://schemas.openxmlformats.org/officeDocument/2006/relationships/hyperlink" Target="http://www.devon.gov.uk/kingskerswellbypass.htm" TargetMode="External"/><Relationship Id="rId52" Type="http://schemas.openxmlformats.org/officeDocument/2006/relationships/hyperlink" Target="http://www2.nationalgrid.com/UK/Services/Electricity-connections/Industry-products/TEC-Register/" TargetMode="External"/><Relationship Id="rId60" Type="http://schemas.openxmlformats.org/officeDocument/2006/relationships/hyperlink" Target="https://www.gov.uk/government/organisations/department-of-energy-climate-change" TargetMode="External"/><Relationship Id="rId65" Type="http://schemas.openxmlformats.org/officeDocument/2006/relationships/hyperlink" Target="https://www.gov.uk/government/organisations/department-of-energy-climate-change" TargetMode="External"/><Relationship Id="rId73" Type="http://schemas.openxmlformats.org/officeDocument/2006/relationships/hyperlink" Target="https://www.gov.uk/government/organisations/department-of-energy-climate-change" TargetMode="External"/><Relationship Id="rId78" Type="http://schemas.openxmlformats.org/officeDocument/2006/relationships/hyperlink" Target="https://www.gov.uk/government/organisations/department-of-energy-climate-change" TargetMode="External"/><Relationship Id="rId81" Type="http://schemas.openxmlformats.org/officeDocument/2006/relationships/hyperlink" Target="http://edfenergy.presscentre.com/News-Releases/Agreement-reached-on-commercial-terms-for-the-planned-Hinkley-Point-C-nuclear-power-station-82.aspx" TargetMode="External"/><Relationship Id="rId86" Type="http://schemas.openxmlformats.org/officeDocument/2006/relationships/hyperlink" Target="http://www.sellafieldsites.com/" TargetMode="External"/><Relationship Id="rId94" Type="http://schemas.openxmlformats.org/officeDocument/2006/relationships/hyperlink" Target="http://www.sellafieldsites.com/" TargetMode="External"/><Relationship Id="rId99" Type="http://schemas.openxmlformats.org/officeDocument/2006/relationships/hyperlink" Target="http://www.sellafieldsites.com/" TargetMode="External"/><Relationship Id="rId101" Type="http://schemas.openxmlformats.org/officeDocument/2006/relationships/hyperlink" Target="http://www.sellafieldsites.com/" TargetMode="External"/><Relationship Id="rId4" Type="http://schemas.openxmlformats.org/officeDocument/2006/relationships/hyperlink" Target="http://www.gatwickairport.com/?attach_external_tab&amp;123205888&amp;4&amp;0&amp;0&amp;0&amp;0&amp;Google%20Chrome%20Frame" TargetMode="External"/><Relationship Id="rId9" Type="http://schemas.openxmlformats.org/officeDocument/2006/relationships/hyperlink" Target="http://www.nats.aero/wp-content/uploads/2012/07/NATSEnRoute10YearPlanMarch2010.pdf" TargetMode="External"/><Relationship Id="rId13" Type="http://schemas.openxmlformats.org/officeDocument/2006/relationships/hyperlink" Target="http://www.superfast-openreach.co.uk/" TargetMode="External"/><Relationship Id="rId18" Type="http://schemas.openxmlformats.org/officeDocument/2006/relationships/hyperlink" Target="http://www.westernpower.co.uk/" TargetMode="External"/><Relationship Id="rId39" Type="http://schemas.openxmlformats.org/officeDocument/2006/relationships/hyperlink" Target="http://www.metrolink.co.uk/FUTUREMETROLINK/Pages/default.aspx" TargetMode="External"/><Relationship Id="rId109" Type="http://schemas.openxmlformats.org/officeDocument/2006/relationships/hyperlink" Target="http://www.magnoxsites.co.uk/" TargetMode="External"/><Relationship Id="rId34" Type="http://schemas.openxmlformats.org/officeDocument/2006/relationships/hyperlink" Target="http://www.sse.com/beaulymossford" TargetMode="External"/><Relationship Id="rId50" Type="http://schemas.openxmlformats.org/officeDocument/2006/relationships/hyperlink" Target="https://www.gov.uk/broadband-delivery-uk" TargetMode="External"/><Relationship Id="rId55" Type="http://schemas.openxmlformats.org/officeDocument/2006/relationships/hyperlink" Target="http://www2.nationalgrid.com/UK/Services/Electricity-connections/Industry-products/TEC-Register/" TargetMode="External"/><Relationship Id="rId76" Type="http://schemas.openxmlformats.org/officeDocument/2006/relationships/hyperlink" Target="https://www.gov.uk/government/organisations/department-of-energy-climate-change" TargetMode="External"/><Relationship Id="rId97" Type="http://schemas.openxmlformats.org/officeDocument/2006/relationships/hyperlink" Target="http://www.sellafieldsites.com/" TargetMode="External"/><Relationship Id="rId104" Type="http://schemas.openxmlformats.org/officeDocument/2006/relationships/hyperlink" Target="http://www.magnoxsites.co.uk/" TargetMode="External"/><Relationship Id="rId7" Type="http://schemas.openxmlformats.org/officeDocument/2006/relationships/hyperlink" Target="http://www.caa.co.uk/application.aspx?catid=33&amp;pagetype=65&amp;appid=11&amp;mode=detail&amp;id=5783" TargetMode="External"/><Relationship Id="rId71" Type="http://schemas.openxmlformats.org/officeDocument/2006/relationships/hyperlink" Target="https://www.gov.uk/government/organisations/department-of-energy-climate-change" TargetMode="External"/><Relationship Id="rId92" Type="http://schemas.openxmlformats.org/officeDocument/2006/relationships/hyperlink" Target="http://www.sellafieldsites.com/"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C00000"/>
  </sheetPr>
  <dimension ref="A1:A7"/>
  <sheetViews>
    <sheetView showGridLines="0" tabSelected="1" zoomScaleNormal="100" zoomScaleSheetLayoutView="100" workbookViewId="0">
      <selection activeCell="Q1" sqref="Q1"/>
    </sheetView>
  </sheetViews>
  <sheetFormatPr defaultRowHeight="15"/>
  <cols>
    <col min="1" max="1" width="127.7109375" style="2" customWidth="1"/>
    <col min="2" max="256" width="9.140625" style="2"/>
    <col min="257" max="257" width="119.5703125" style="2" customWidth="1"/>
    <col min="258" max="512" width="9.140625" style="2"/>
    <col min="513" max="513" width="119.5703125" style="2" customWidth="1"/>
    <col min="514" max="768" width="9.140625" style="2"/>
    <col min="769" max="769" width="119.5703125" style="2" customWidth="1"/>
    <col min="770" max="1024" width="9.140625" style="2"/>
    <col min="1025" max="1025" width="119.5703125" style="2" customWidth="1"/>
    <col min="1026" max="1280" width="9.140625" style="2"/>
    <col min="1281" max="1281" width="119.5703125" style="2" customWidth="1"/>
    <col min="1282" max="1536" width="9.140625" style="2"/>
    <col min="1537" max="1537" width="119.5703125" style="2" customWidth="1"/>
    <col min="1538" max="1792" width="9.140625" style="2"/>
    <col min="1793" max="1793" width="119.5703125" style="2" customWidth="1"/>
    <col min="1794" max="2048" width="9.140625" style="2"/>
    <col min="2049" max="2049" width="119.5703125" style="2" customWidth="1"/>
    <col min="2050" max="2304" width="9.140625" style="2"/>
    <col min="2305" max="2305" width="119.5703125" style="2" customWidth="1"/>
    <col min="2306" max="2560" width="9.140625" style="2"/>
    <col min="2561" max="2561" width="119.5703125" style="2" customWidth="1"/>
    <col min="2562" max="2816" width="9.140625" style="2"/>
    <col min="2817" max="2817" width="119.5703125" style="2" customWidth="1"/>
    <col min="2818" max="3072" width="9.140625" style="2"/>
    <col min="3073" max="3073" width="119.5703125" style="2" customWidth="1"/>
    <col min="3074" max="3328" width="9.140625" style="2"/>
    <col min="3329" max="3329" width="119.5703125" style="2" customWidth="1"/>
    <col min="3330" max="3584" width="9.140625" style="2"/>
    <col min="3585" max="3585" width="119.5703125" style="2" customWidth="1"/>
    <col min="3586" max="3840" width="9.140625" style="2"/>
    <col min="3841" max="3841" width="119.5703125" style="2" customWidth="1"/>
    <col min="3842" max="4096" width="9.140625" style="2"/>
    <col min="4097" max="4097" width="119.5703125" style="2" customWidth="1"/>
    <col min="4098" max="4352" width="9.140625" style="2"/>
    <col min="4353" max="4353" width="119.5703125" style="2" customWidth="1"/>
    <col min="4354" max="4608" width="9.140625" style="2"/>
    <col min="4609" max="4609" width="119.5703125" style="2" customWidth="1"/>
    <col min="4610" max="4864" width="9.140625" style="2"/>
    <col min="4865" max="4865" width="119.5703125" style="2" customWidth="1"/>
    <col min="4866" max="5120" width="9.140625" style="2"/>
    <col min="5121" max="5121" width="119.5703125" style="2" customWidth="1"/>
    <col min="5122" max="5376" width="9.140625" style="2"/>
    <col min="5377" max="5377" width="119.5703125" style="2" customWidth="1"/>
    <col min="5378" max="5632" width="9.140625" style="2"/>
    <col min="5633" max="5633" width="119.5703125" style="2" customWidth="1"/>
    <col min="5634" max="5888" width="9.140625" style="2"/>
    <col min="5889" max="5889" width="119.5703125" style="2" customWidth="1"/>
    <col min="5890" max="6144" width="9.140625" style="2"/>
    <col min="6145" max="6145" width="119.5703125" style="2" customWidth="1"/>
    <col min="6146" max="6400" width="9.140625" style="2"/>
    <col min="6401" max="6401" width="119.5703125" style="2" customWidth="1"/>
    <col min="6402" max="6656" width="9.140625" style="2"/>
    <col min="6657" max="6657" width="119.5703125" style="2" customWidth="1"/>
    <col min="6658" max="6912" width="9.140625" style="2"/>
    <col min="6913" max="6913" width="119.5703125" style="2" customWidth="1"/>
    <col min="6914" max="7168" width="9.140625" style="2"/>
    <col min="7169" max="7169" width="119.5703125" style="2" customWidth="1"/>
    <col min="7170" max="7424" width="9.140625" style="2"/>
    <col min="7425" max="7425" width="119.5703125" style="2" customWidth="1"/>
    <col min="7426" max="7680" width="9.140625" style="2"/>
    <col min="7681" max="7681" width="119.5703125" style="2" customWidth="1"/>
    <col min="7682" max="7936" width="9.140625" style="2"/>
    <col min="7937" max="7937" width="119.5703125" style="2" customWidth="1"/>
    <col min="7938" max="8192" width="9.140625" style="2"/>
    <col min="8193" max="8193" width="119.5703125" style="2" customWidth="1"/>
    <col min="8194" max="8448" width="9.140625" style="2"/>
    <col min="8449" max="8449" width="119.5703125" style="2" customWidth="1"/>
    <col min="8450" max="8704" width="9.140625" style="2"/>
    <col min="8705" max="8705" width="119.5703125" style="2" customWidth="1"/>
    <col min="8706" max="8960" width="9.140625" style="2"/>
    <col min="8961" max="8961" width="119.5703125" style="2" customWidth="1"/>
    <col min="8962" max="9216" width="9.140625" style="2"/>
    <col min="9217" max="9217" width="119.5703125" style="2" customWidth="1"/>
    <col min="9218" max="9472" width="9.140625" style="2"/>
    <col min="9473" max="9473" width="119.5703125" style="2" customWidth="1"/>
    <col min="9474" max="9728" width="9.140625" style="2"/>
    <col min="9729" max="9729" width="119.5703125" style="2" customWidth="1"/>
    <col min="9730" max="9984" width="9.140625" style="2"/>
    <col min="9985" max="9985" width="119.5703125" style="2" customWidth="1"/>
    <col min="9986" max="10240" width="9.140625" style="2"/>
    <col min="10241" max="10241" width="119.5703125" style="2" customWidth="1"/>
    <col min="10242" max="10496" width="9.140625" style="2"/>
    <col min="10497" max="10497" width="119.5703125" style="2" customWidth="1"/>
    <col min="10498" max="10752" width="9.140625" style="2"/>
    <col min="10753" max="10753" width="119.5703125" style="2" customWidth="1"/>
    <col min="10754" max="11008" width="9.140625" style="2"/>
    <col min="11009" max="11009" width="119.5703125" style="2" customWidth="1"/>
    <col min="11010" max="11264" width="9.140625" style="2"/>
    <col min="11265" max="11265" width="119.5703125" style="2" customWidth="1"/>
    <col min="11266" max="11520" width="9.140625" style="2"/>
    <col min="11521" max="11521" width="119.5703125" style="2" customWidth="1"/>
    <col min="11522" max="11776" width="9.140625" style="2"/>
    <col min="11777" max="11777" width="119.5703125" style="2" customWidth="1"/>
    <col min="11778" max="12032" width="9.140625" style="2"/>
    <col min="12033" max="12033" width="119.5703125" style="2" customWidth="1"/>
    <col min="12034" max="12288" width="9.140625" style="2"/>
    <col min="12289" max="12289" width="119.5703125" style="2" customWidth="1"/>
    <col min="12290" max="12544" width="9.140625" style="2"/>
    <col min="12545" max="12545" width="119.5703125" style="2" customWidth="1"/>
    <col min="12546" max="12800" width="9.140625" style="2"/>
    <col min="12801" max="12801" width="119.5703125" style="2" customWidth="1"/>
    <col min="12802" max="13056" width="9.140625" style="2"/>
    <col min="13057" max="13057" width="119.5703125" style="2" customWidth="1"/>
    <col min="13058" max="13312" width="9.140625" style="2"/>
    <col min="13313" max="13313" width="119.5703125" style="2" customWidth="1"/>
    <col min="13314" max="13568" width="9.140625" style="2"/>
    <col min="13569" max="13569" width="119.5703125" style="2" customWidth="1"/>
    <col min="13570" max="13824" width="9.140625" style="2"/>
    <col min="13825" max="13825" width="119.5703125" style="2" customWidth="1"/>
    <col min="13826" max="14080" width="9.140625" style="2"/>
    <col min="14081" max="14081" width="119.5703125" style="2" customWidth="1"/>
    <col min="14082" max="14336" width="9.140625" style="2"/>
    <col min="14337" max="14337" width="119.5703125" style="2" customWidth="1"/>
    <col min="14338" max="14592" width="9.140625" style="2"/>
    <col min="14593" max="14593" width="119.5703125" style="2" customWidth="1"/>
    <col min="14594" max="14848" width="9.140625" style="2"/>
    <col min="14849" max="14849" width="119.5703125" style="2" customWidth="1"/>
    <col min="14850" max="15104" width="9.140625" style="2"/>
    <col min="15105" max="15105" width="119.5703125" style="2" customWidth="1"/>
    <col min="15106" max="15360" width="9.140625" style="2"/>
    <col min="15361" max="15361" width="119.5703125" style="2" customWidth="1"/>
    <col min="15362" max="15616" width="9.140625" style="2"/>
    <col min="15617" max="15617" width="119.5703125" style="2" customWidth="1"/>
    <col min="15618" max="15872" width="9.140625" style="2"/>
    <col min="15873" max="15873" width="119.5703125" style="2" customWidth="1"/>
    <col min="15874" max="16128" width="9.140625" style="2"/>
    <col min="16129" max="16129" width="119.5703125" style="2" customWidth="1"/>
    <col min="16130" max="16384" width="9.140625" style="2"/>
  </cols>
  <sheetData>
    <row r="1" spans="1:1" ht="23.25">
      <c r="A1" s="278"/>
    </row>
    <row r="2" spans="1:1" ht="66" customHeight="1">
      <c r="A2" s="283" t="s">
        <v>1334</v>
      </c>
    </row>
    <row r="3" spans="1:1" ht="35.25" customHeight="1">
      <c r="A3" s="278" t="s">
        <v>1335</v>
      </c>
    </row>
    <row r="4" spans="1:1" ht="40.5" customHeight="1">
      <c r="A4" s="279" t="s">
        <v>1330</v>
      </c>
    </row>
    <row r="5" spans="1:1" ht="89.25" customHeight="1">
      <c r="A5" s="285" t="s">
        <v>1345</v>
      </c>
    </row>
    <row r="6" spans="1:1" ht="114.75" customHeight="1">
      <c r="A6" s="284" t="s">
        <v>1346</v>
      </c>
    </row>
    <row r="7" spans="1:1" ht="18.75">
      <c r="A7" s="280"/>
    </row>
  </sheetData>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sheetPr>
    <tabColor rgb="FFFFC000"/>
  </sheetPr>
  <dimension ref="A1:J34"/>
  <sheetViews>
    <sheetView zoomScale="80" zoomScaleNormal="80" workbookViewId="0">
      <selection activeCell="F4" sqref="F4:F12"/>
      <pivotSelection pane="bottomRight" showHeader="1" extendable="1" start="4" max="9" activeRow="3" activeCol="5" click="1" r:id="rId1">
        <pivotArea dataOnly="0" outline="0" fieldPosition="0">
          <references count="1">
            <reference field="4294967294" count="1">
              <x v="4"/>
            </reference>
          </references>
        </pivotArea>
      </pivotSelection>
    </sheetView>
  </sheetViews>
  <sheetFormatPr defaultRowHeight="15"/>
  <cols>
    <col min="1" max="1" width="20.28515625" customWidth="1"/>
    <col min="2" max="2" width="20" customWidth="1"/>
    <col min="3" max="3" width="16" customWidth="1"/>
    <col min="4" max="4" width="12.42578125" customWidth="1"/>
    <col min="5" max="7" width="16.42578125" customWidth="1"/>
    <col min="8" max="8" width="14.5703125" customWidth="1"/>
    <col min="9" max="9" width="14.42578125" customWidth="1"/>
    <col min="10" max="10" width="12.28515625" customWidth="1"/>
  </cols>
  <sheetData>
    <row r="1" spans="1:10" s="2" customFormat="1" ht="26.25">
      <c r="A1" s="230" t="s">
        <v>1316</v>
      </c>
    </row>
    <row r="3" spans="1:10">
      <c r="B3" s="160" t="s">
        <v>1122</v>
      </c>
      <c r="E3" s="176"/>
      <c r="F3" s="176"/>
    </row>
    <row r="4" spans="1:10" s="232" customFormat="1" ht="30">
      <c r="A4" s="231" t="s">
        <v>1120</v>
      </c>
      <c r="B4" s="166" t="s">
        <v>1315</v>
      </c>
      <c r="C4" s="166" t="s">
        <v>1313</v>
      </c>
      <c r="D4" s="166" t="s">
        <v>1314</v>
      </c>
      <c r="E4" s="166" t="s">
        <v>1134</v>
      </c>
      <c r="F4" s="166" t="s">
        <v>1135</v>
      </c>
      <c r="G4" s="166" t="s">
        <v>1136</v>
      </c>
      <c r="H4" s="166" t="s">
        <v>1137</v>
      </c>
      <c r="I4" s="166" t="s">
        <v>1317</v>
      </c>
      <c r="J4" s="166" t="s">
        <v>1123</v>
      </c>
    </row>
    <row r="5" spans="1:10">
      <c r="A5" s="161" t="s">
        <v>211</v>
      </c>
      <c r="B5" s="162">
        <v>7</v>
      </c>
      <c r="C5" s="162">
        <v>1</v>
      </c>
      <c r="D5" s="162">
        <v>6</v>
      </c>
      <c r="E5" s="163">
        <v>4516.8295861844244</v>
      </c>
      <c r="F5" s="163">
        <v>4644.3254284591458</v>
      </c>
      <c r="G5" s="163">
        <v>4318.8053711972752</v>
      </c>
      <c r="H5" s="163">
        <v>915.45794035884126</v>
      </c>
      <c r="I5" s="163">
        <v>0</v>
      </c>
      <c r="J5" s="163">
        <v>14395.418326199686</v>
      </c>
    </row>
    <row r="6" spans="1:10">
      <c r="A6" s="161" t="s">
        <v>231</v>
      </c>
      <c r="B6" s="162">
        <v>315</v>
      </c>
      <c r="C6" s="162">
        <v>275</v>
      </c>
      <c r="D6" s="162">
        <v>40</v>
      </c>
      <c r="E6" s="163">
        <v>7787.1300907909372</v>
      </c>
      <c r="F6" s="163">
        <v>12330.936630440701</v>
      </c>
      <c r="G6" s="163">
        <v>15706.598333057418</v>
      </c>
      <c r="H6" s="163">
        <v>84571.829621903031</v>
      </c>
      <c r="I6" s="163">
        <v>98502.969921768774</v>
      </c>
      <c r="J6" s="163">
        <v>218899.4645979609</v>
      </c>
    </row>
    <row r="7" spans="1:10">
      <c r="A7" s="161" t="s">
        <v>30</v>
      </c>
      <c r="B7" s="162">
        <v>67</v>
      </c>
      <c r="C7" s="162">
        <v>42</v>
      </c>
      <c r="D7" s="162">
        <v>25</v>
      </c>
      <c r="E7" s="163">
        <v>381.09641374746434</v>
      </c>
      <c r="F7" s="163">
        <v>568.11375577562092</v>
      </c>
      <c r="G7" s="163">
        <v>441.92108469343435</v>
      </c>
      <c r="H7" s="163">
        <v>1800.0848010073848</v>
      </c>
      <c r="I7" s="163">
        <v>768.25825874821294</v>
      </c>
      <c r="J7" s="163">
        <v>3959.4743139721172</v>
      </c>
    </row>
    <row r="8" spans="1:10">
      <c r="A8" s="161" t="s">
        <v>210</v>
      </c>
      <c r="B8" s="162">
        <v>8</v>
      </c>
      <c r="C8" s="162">
        <v>6</v>
      </c>
      <c r="D8" s="162">
        <v>2</v>
      </c>
      <c r="E8" s="163">
        <v>324.71163245356792</v>
      </c>
      <c r="F8" s="163">
        <v>263.80491099222309</v>
      </c>
      <c r="G8" s="163">
        <v>27.515997145822155</v>
      </c>
      <c r="H8" s="163">
        <v>239.42746132462003</v>
      </c>
      <c r="I8" s="163">
        <v>0</v>
      </c>
      <c r="J8" s="163">
        <v>855.46000191623318</v>
      </c>
    </row>
    <row r="9" spans="1:10">
      <c r="A9" s="161" t="s">
        <v>38</v>
      </c>
      <c r="B9" s="162">
        <v>183</v>
      </c>
      <c r="C9" s="162">
        <v>121</v>
      </c>
      <c r="D9" s="162">
        <v>62</v>
      </c>
      <c r="E9" s="163">
        <v>14971.386703438022</v>
      </c>
      <c r="F9" s="163">
        <v>14168.942573697926</v>
      </c>
      <c r="G9" s="163">
        <v>14821.047662431416</v>
      </c>
      <c r="H9" s="163">
        <v>58519.3283736866</v>
      </c>
      <c r="I9" s="163">
        <v>18982.368440169106</v>
      </c>
      <c r="J9" s="163">
        <v>121463.07375342306</v>
      </c>
    </row>
    <row r="10" spans="1:10">
      <c r="A10" s="161" t="s">
        <v>42</v>
      </c>
      <c r="B10" s="162">
        <v>34</v>
      </c>
      <c r="C10" s="162">
        <v>34</v>
      </c>
      <c r="D10" s="162">
        <v>0</v>
      </c>
      <c r="E10" s="163">
        <v>954.8354512870643</v>
      </c>
      <c r="F10" s="163">
        <v>793.00715534847666</v>
      </c>
      <c r="G10" s="163">
        <v>419.10067570563024</v>
      </c>
      <c r="H10" s="163">
        <v>137.13337568128389</v>
      </c>
      <c r="I10" s="163">
        <v>0</v>
      </c>
      <c r="J10" s="163">
        <v>2304.0766580224549</v>
      </c>
    </row>
    <row r="11" spans="1:10">
      <c r="A11" s="161" t="s">
        <v>735</v>
      </c>
      <c r="B11" s="162">
        <v>32</v>
      </c>
      <c r="C11" s="162">
        <v>1</v>
      </c>
      <c r="D11" s="162">
        <v>31</v>
      </c>
      <c r="E11" s="163">
        <v>4467.1173656587716</v>
      </c>
      <c r="F11" s="163">
        <v>3721.7731328267223</v>
      </c>
      <c r="G11" s="163">
        <v>3240</v>
      </c>
      <c r="H11" s="163">
        <v>2418.3656116766961</v>
      </c>
      <c r="I11" s="163">
        <v>1347.9060901472124</v>
      </c>
      <c r="J11" s="163">
        <v>15195.162200309405</v>
      </c>
    </row>
    <row r="12" spans="1:10">
      <c r="A12" s="161" t="s">
        <v>1121</v>
      </c>
      <c r="B12" s="162">
        <v>646</v>
      </c>
      <c r="C12" s="162">
        <v>480</v>
      </c>
      <c r="D12" s="162">
        <v>166</v>
      </c>
      <c r="E12" s="163">
        <v>33403.10724356024</v>
      </c>
      <c r="F12" s="163">
        <v>36490.903587540794</v>
      </c>
      <c r="G12" s="163">
        <v>38974.989124231011</v>
      </c>
      <c r="H12" s="163">
        <v>148601.62718563856</v>
      </c>
      <c r="I12" s="163">
        <v>119601.50271083329</v>
      </c>
      <c r="J12" s="163">
        <v>377072.12985180394</v>
      </c>
    </row>
    <row r="14" spans="1:10" ht="26.25">
      <c r="A14" s="230"/>
    </row>
    <row r="16" spans="1:10">
      <c r="B16" s="2"/>
    </row>
    <row r="17" spans="1:9" s="175" customFormat="1">
      <c r="C17" s="2"/>
      <c r="D17" s="2"/>
      <c r="E17" s="2"/>
      <c r="F17"/>
      <c r="G17"/>
      <c r="H17"/>
      <c r="I17" s="178"/>
    </row>
    <row r="18" spans="1:9">
      <c r="A18" s="161"/>
      <c r="B18" s="162"/>
      <c r="C18" s="163"/>
      <c r="D18" s="163"/>
      <c r="E18" s="163"/>
    </row>
    <row r="19" spans="1:9">
      <c r="A19" s="161"/>
      <c r="B19" s="162"/>
      <c r="C19" s="163"/>
      <c r="D19" s="163"/>
      <c r="E19" s="163"/>
    </row>
    <row r="20" spans="1:9">
      <c r="A20" s="161"/>
      <c r="B20" s="162"/>
      <c r="C20" s="163"/>
      <c r="D20" s="163"/>
      <c r="E20" s="163"/>
    </row>
    <row r="21" spans="1:9">
      <c r="A21" s="161"/>
      <c r="B21" s="162"/>
      <c r="C21" s="163"/>
      <c r="D21" s="163"/>
      <c r="E21" s="163"/>
    </row>
    <row r="22" spans="1:9">
      <c r="A22" s="161"/>
      <c r="B22" s="162"/>
      <c r="C22" s="163"/>
      <c r="D22" s="163"/>
      <c r="E22" s="163"/>
    </row>
    <row r="23" spans="1:9">
      <c r="A23" s="161"/>
      <c r="B23" s="162"/>
      <c r="C23" s="163"/>
      <c r="D23" s="163"/>
      <c r="E23" s="163"/>
    </row>
    <row r="24" spans="1:9">
      <c r="A24" s="161"/>
      <c r="B24" s="162"/>
      <c r="C24" s="163"/>
      <c r="D24" s="163"/>
      <c r="E24" s="163"/>
    </row>
    <row r="25" spans="1:9">
      <c r="A25" s="161"/>
      <c r="B25" s="162"/>
      <c r="C25" s="163"/>
      <c r="D25" s="163"/>
      <c r="E25" s="163"/>
    </row>
    <row r="26" spans="1:9">
      <c r="A26" s="161"/>
      <c r="B26" s="162"/>
      <c r="C26" s="163"/>
      <c r="D26" s="163"/>
      <c r="E26" s="163"/>
    </row>
    <row r="27" spans="1:9">
      <c r="A27" s="161"/>
      <c r="B27" s="162"/>
      <c r="C27" s="163"/>
      <c r="D27" s="163"/>
      <c r="E27" s="163"/>
    </row>
    <row r="28" spans="1:9">
      <c r="A28" s="161"/>
      <c r="B28" s="162"/>
      <c r="C28" s="163"/>
      <c r="D28" s="163"/>
      <c r="E28" s="163"/>
    </row>
    <row r="29" spans="1:9">
      <c r="A29" s="161"/>
      <c r="B29" s="162"/>
      <c r="C29" s="163"/>
      <c r="D29" s="163"/>
      <c r="E29" s="163"/>
    </row>
    <row r="30" spans="1:9">
      <c r="A30" s="161"/>
      <c r="B30" s="162"/>
      <c r="C30" s="163"/>
      <c r="D30" s="163"/>
      <c r="E30" s="163"/>
    </row>
    <row r="31" spans="1:9">
      <c r="A31" s="161"/>
      <c r="B31" s="162"/>
      <c r="C31" s="163"/>
      <c r="D31" s="163"/>
      <c r="E31" s="163"/>
    </row>
    <row r="32" spans="1:9">
      <c r="A32" s="161"/>
      <c r="B32" s="162"/>
      <c r="C32" s="163"/>
      <c r="D32" s="163"/>
      <c r="E32" s="163"/>
    </row>
    <row r="33" spans="1:5">
      <c r="A33" s="161"/>
      <c r="B33" s="162"/>
      <c r="C33" s="163"/>
      <c r="D33" s="163"/>
      <c r="E33" s="163"/>
    </row>
    <row r="34" spans="1:5">
      <c r="A34" s="161"/>
      <c r="B34" s="162"/>
      <c r="C34" s="163"/>
      <c r="D34" s="163"/>
      <c r="E34" s="16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15">
    <tabColor theme="2" tint="-0.499984740745262"/>
  </sheetPr>
  <dimension ref="A1:AY710"/>
  <sheetViews>
    <sheetView zoomScale="85" zoomScaleNormal="85" zoomScaleSheetLayoutView="80" zoomScalePageLayoutView="115" workbookViewId="0">
      <selection activeCell="C1" sqref="C1"/>
    </sheetView>
  </sheetViews>
  <sheetFormatPr defaultColWidth="9.140625" defaultRowHeight="31.5" customHeight="1"/>
  <cols>
    <col min="1" max="1" width="19.140625" style="6" customWidth="1"/>
    <col min="2" max="2" width="29.85546875" style="6" bestFit="1" customWidth="1"/>
    <col min="3" max="3" width="58.7109375" style="6" bestFit="1" customWidth="1"/>
    <col min="4" max="4" width="54.5703125" style="6" customWidth="1"/>
    <col min="5" max="5" width="13.140625" style="1" customWidth="1"/>
    <col min="6" max="6" width="45.7109375" style="6" bestFit="1" customWidth="1"/>
    <col min="7" max="7" width="92" style="246" bestFit="1" customWidth="1"/>
    <col min="8" max="8" width="27.140625" style="6" bestFit="1" customWidth="1"/>
    <col min="9" max="9" width="25.7109375" style="6" bestFit="1" customWidth="1"/>
    <col min="10" max="10" width="16.28515625" style="1" customWidth="1"/>
    <col min="11" max="11" width="22" style="1" customWidth="1"/>
    <col min="12" max="12" width="25.7109375" style="108" customWidth="1"/>
    <col min="13" max="13" width="19.42578125" style="108" customWidth="1"/>
    <col min="14" max="14" width="16.85546875" style="108" customWidth="1"/>
    <col min="15" max="15" width="16.28515625" style="1" customWidth="1"/>
    <col min="16" max="16" width="19" style="21" customWidth="1"/>
    <col min="17" max="17" width="18.7109375" style="21" customWidth="1"/>
    <col min="18" max="18" width="18.28515625" style="152" customWidth="1"/>
    <col min="19" max="19" width="19.140625" style="152" customWidth="1"/>
    <col min="20" max="20" width="17.7109375" style="152" customWidth="1"/>
    <col min="21" max="21" width="18.85546875" style="150" customWidth="1"/>
    <col min="22" max="22" width="19.7109375" style="149" customWidth="1"/>
    <col min="23" max="23" width="23" style="149" customWidth="1"/>
    <col min="24" max="24" width="21.42578125" style="150" customWidth="1"/>
    <col min="25" max="25" width="16.5703125" style="23" customWidth="1"/>
    <col min="26" max="26" width="87.85546875" style="314" customWidth="1"/>
    <col min="27" max="27" width="63" style="9" customWidth="1"/>
    <col min="28" max="28" width="65.85546875" style="9" customWidth="1"/>
    <col min="29" max="29" width="16.140625" style="124" customWidth="1"/>
    <col min="30" max="30" width="14.140625" style="116" bestFit="1" customWidth="1"/>
    <col min="31" max="31" width="14.140625" style="6" bestFit="1" customWidth="1"/>
    <col min="32" max="32" width="13.7109375" style="6" bestFit="1" customWidth="1"/>
    <col min="33" max="33" width="14.140625" style="6" bestFit="1" customWidth="1"/>
    <col min="34" max="34" width="18.7109375" style="6" bestFit="1" customWidth="1"/>
    <col min="35" max="35" width="19.140625" style="6" bestFit="1" customWidth="1"/>
    <col min="36" max="36" width="19.42578125" style="6" customWidth="1"/>
    <col min="37" max="37" width="19.5703125" style="6" customWidth="1"/>
    <col min="38" max="38" width="18.28515625" style="22" bestFit="1" customWidth="1"/>
    <col min="39" max="39" width="16" style="55" customWidth="1"/>
    <col min="40" max="41" width="16" style="6" customWidth="1"/>
    <col min="42" max="42" width="17.28515625" style="6" customWidth="1"/>
    <col min="43" max="43" width="18.7109375" style="6" bestFit="1" customWidth="1"/>
    <col min="44" max="46" width="19.140625" style="6" bestFit="1" customWidth="1"/>
    <col min="47" max="54" width="14.28515625" style="6" customWidth="1"/>
    <col min="55" max="55" width="24.85546875" style="6" bestFit="1" customWidth="1"/>
    <col min="56" max="16384" width="9.140625" style="6"/>
  </cols>
  <sheetData>
    <row r="1" spans="1:40" s="52" customFormat="1" ht="45">
      <c r="A1" s="50" t="s">
        <v>0</v>
      </c>
      <c r="B1" s="50" t="s">
        <v>54</v>
      </c>
      <c r="C1" s="50" t="s">
        <v>53</v>
      </c>
      <c r="D1" s="50" t="s">
        <v>791</v>
      </c>
      <c r="E1" s="50" t="s">
        <v>1326</v>
      </c>
      <c r="F1" s="50" t="s">
        <v>792</v>
      </c>
      <c r="G1" s="50" t="s">
        <v>789</v>
      </c>
      <c r="H1" s="50" t="s">
        <v>1</v>
      </c>
      <c r="I1" s="50" t="s">
        <v>2</v>
      </c>
      <c r="J1" s="50" t="s">
        <v>1337</v>
      </c>
      <c r="K1" s="50" t="s">
        <v>3</v>
      </c>
      <c r="L1" s="50" t="s">
        <v>893</v>
      </c>
      <c r="M1" s="63" t="s">
        <v>794</v>
      </c>
      <c r="N1" s="63" t="s">
        <v>790</v>
      </c>
      <c r="O1" s="59" t="s">
        <v>4</v>
      </c>
      <c r="P1" s="59" t="s">
        <v>5</v>
      </c>
      <c r="Q1" s="60" t="s">
        <v>1319</v>
      </c>
      <c r="R1" s="59" t="s">
        <v>1321</v>
      </c>
      <c r="S1" s="59" t="s">
        <v>1322</v>
      </c>
      <c r="T1" s="59" t="s">
        <v>1323</v>
      </c>
      <c r="U1" s="60" t="s">
        <v>1324</v>
      </c>
      <c r="V1" s="60" t="s">
        <v>1325</v>
      </c>
      <c r="W1" s="50" t="s">
        <v>52</v>
      </c>
      <c r="X1" s="50" t="s">
        <v>51</v>
      </c>
      <c r="Y1" s="58" t="s">
        <v>272</v>
      </c>
      <c r="Z1" s="291" t="s">
        <v>793</v>
      </c>
      <c r="AA1" s="286" t="s">
        <v>50</v>
      </c>
      <c r="AB1" s="286" t="s">
        <v>71</v>
      </c>
      <c r="AC1" s="154" t="s">
        <v>1132</v>
      </c>
      <c r="AD1" s="61" t="s">
        <v>266</v>
      </c>
      <c r="AE1" s="61" t="s">
        <v>267</v>
      </c>
      <c r="AF1" s="61" t="s">
        <v>268</v>
      </c>
      <c r="AG1" s="61" t="s">
        <v>351</v>
      </c>
      <c r="AH1" s="61" t="s">
        <v>994</v>
      </c>
      <c r="AI1" s="61" t="s">
        <v>269</v>
      </c>
      <c r="AJ1" s="61" t="s">
        <v>352</v>
      </c>
      <c r="AK1" s="61" t="s">
        <v>353</v>
      </c>
      <c r="AL1" s="62" t="s">
        <v>996</v>
      </c>
    </row>
    <row r="2" spans="1:40" ht="49.5" customHeight="1">
      <c r="A2" s="25" t="s">
        <v>211</v>
      </c>
      <c r="B2" s="25" t="s">
        <v>212</v>
      </c>
      <c r="C2" s="18" t="s">
        <v>212</v>
      </c>
      <c r="D2" s="26" t="s">
        <v>213</v>
      </c>
      <c r="E2" s="27"/>
      <c r="F2" s="26"/>
      <c r="G2" s="28" t="s">
        <v>273</v>
      </c>
      <c r="H2" s="64" t="s">
        <v>6</v>
      </c>
      <c r="I2" s="66" t="s">
        <v>7</v>
      </c>
      <c r="J2" s="51" t="s">
        <v>8</v>
      </c>
      <c r="K2" s="109" t="s">
        <v>282</v>
      </c>
      <c r="L2" s="64" t="s">
        <v>1000</v>
      </c>
      <c r="M2" s="75" t="s">
        <v>27</v>
      </c>
      <c r="N2" s="75" t="s">
        <v>27</v>
      </c>
      <c r="O2" s="104">
        <v>22</v>
      </c>
      <c r="P2" s="29"/>
      <c r="Q2" s="251"/>
      <c r="R2" s="104">
        <v>2</v>
      </c>
      <c r="S2" s="104">
        <v>4</v>
      </c>
      <c r="T2" s="104"/>
      <c r="U2" s="104">
        <v>16</v>
      </c>
      <c r="V2" s="104"/>
      <c r="W2" s="109" t="s">
        <v>13</v>
      </c>
      <c r="X2" s="118" t="s">
        <v>12</v>
      </c>
      <c r="Y2" s="88"/>
      <c r="Z2" s="292"/>
      <c r="AA2" s="17" t="s">
        <v>274</v>
      </c>
      <c r="AB2" s="26" t="s">
        <v>1257</v>
      </c>
      <c r="AC2" s="117"/>
      <c r="AD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1.9550342130987293</v>
      </c>
      <c r="AF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3.8371623417050627</v>
      </c>
      <c r="AG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14.825229803382044</v>
      </c>
      <c r="AI2"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 s="32">
        <f t="shared" ref="AJ2:AJ65" si="0">SUM(AD2:AG2)</f>
        <v>5.7921965548037919</v>
      </c>
      <c r="AK2" s="32">
        <f>+SUM(AH2:AI2)</f>
        <v>14.825229803382044</v>
      </c>
      <c r="AL2" s="32">
        <f t="shared" ref="AL2:AL65" si="1">+AJ2+AK2-AD2</f>
        <v>20.617426358185835</v>
      </c>
      <c r="AM2" s="33"/>
      <c r="AN2" s="33"/>
    </row>
    <row r="3" spans="1:40" ht="31.5" customHeight="1">
      <c r="A3" s="25" t="s">
        <v>211</v>
      </c>
      <c r="B3" s="25" t="s">
        <v>214</v>
      </c>
      <c r="C3" s="18" t="s">
        <v>214</v>
      </c>
      <c r="D3" s="26" t="s">
        <v>215</v>
      </c>
      <c r="E3" s="27"/>
      <c r="F3" s="26"/>
      <c r="G3" s="28" t="s">
        <v>216</v>
      </c>
      <c r="H3" s="64" t="s">
        <v>6</v>
      </c>
      <c r="I3" s="66" t="s">
        <v>7</v>
      </c>
      <c r="J3" s="51" t="s">
        <v>8</v>
      </c>
      <c r="K3" s="109" t="s">
        <v>7</v>
      </c>
      <c r="L3" s="64" t="s">
        <v>1000</v>
      </c>
      <c r="M3" s="75">
        <v>2010</v>
      </c>
      <c r="N3" s="56">
        <v>2014</v>
      </c>
      <c r="O3" s="104">
        <v>2500</v>
      </c>
      <c r="P3" s="29"/>
      <c r="Q3" s="251">
        <v>500</v>
      </c>
      <c r="R3" s="104">
        <v>500</v>
      </c>
      <c r="S3" s="104">
        <v>500</v>
      </c>
      <c r="T3" s="104"/>
      <c r="U3" s="104"/>
      <c r="V3" s="104"/>
      <c r="W3" s="109" t="s">
        <v>13</v>
      </c>
      <c r="X3" s="118" t="s">
        <v>12</v>
      </c>
      <c r="Y3" s="88"/>
      <c r="Z3" s="293" t="s">
        <v>1110</v>
      </c>
      <c r="AA3" s="17" t="s">
        <v>217</v>
      </c>
      <c r="AB3" s="26" t="s">
        <v>1150</v>
      </c>
      <c r="AC3" s="117" t="s">
        <v>10</v>
      </c>
      <c r="AD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500</v>
      </c>
      <c r="AE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488.7585532746823</v>
      </c>
      <c r="AF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479.64529271313285</v>
      </c>
      <c r="AG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3"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3"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 s="32">
        <f t="shared" si="0"/>
        <v>1468.4038459878152</v>
      </c>
      <c r="AK3" s="32">
        <f t="shared" ref="AK3:AK67" si="2">+SUM(AH3:AI3)</f>
        <v>0</v>
      </c>
      <c r="AL3" s="32">
        <f t="shared" si="1"/>
        <v>968.4038459878152</v>
      </c>
      <c r="AM3" s="33"/>
      <c r="AN3" s="33"/>
    </row>
    <row r="4" spans="1:40" ht="31.5" customHeight="1">
      <c r="A4" s="25" t="s">
        <v>211</v>
      </c>
      <c r="B4" s="25" t="s">
        <v>218</v>
      </c>
      <c r="C4" s="18" t="s">
        <v>218</v>
      </c>
      <c r="D4" s="26" t="s">
        <v>787</v>
      </c>
      <c r="E4" s="27"/>
      <c r="F4" s="26"/>
      <c r="G4" s="28" t="s">
        <v>219</v>
      </c>
      <c r="H4" s="64" t="s">
        <v>6</v>
      </c>
      <c r="I4" s="66" t="s">
        <v>7</v>
      </c>
      <c r="J4" s="51" t="s">
        <v>8</v>
      </c>
      <c r="K4" s="109" t="s">
        <v>7</v>
      </c>
      <c r="L4" s="64" t="s">
        <v>1000</v>
      </c>
      <c r="M4" s="75">
        <v>2013</v>
      </c>
      <c r="N4" s="56">
        <v>2015</v>
      </c>
      <c r="O4" s="104">
        <v>3000</v>
      </c>
      <c r="P4" s="29"/>
      <c r="Q4" s="251"/>
      <c r="R4" s="104">
        <v>600</v>
      </c>
      <c r="S4" s="104">
        <v>600</v>
      </c>
      <c r="T4" s="104">
        <v>1800</v>
      </c>
      <c r="U4" s="104"/>
      <c r="V4" s="104"/>
      <c r="W4" s="109" t="s">
        <v>13</v>
      </c>
      <c r="X4" s="118" t="s">
        <v>12</v>
      </c>
      <c r="Y4" s="88"/>
      <c r="Z4" s="292"/>
      <c r="AA4" s="17" t="s">
        <v>1296</v>
      </c>
      <c r="AB4" s="26" t="s">
        <v>275</v>
      </c>
      <c r="AC4" s="117" t="s">
        <v>10</v>
      </c>
      <c r="AD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586.51026392961876</v>
      </c>
      <c r="AF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575.57435125575944</v>
      </c>
      <c r="AG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1696.1916048794478</v>
      </c>
      <c r="AH4"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4"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 s="32">
        <f t="shared" si="0"/>
        <v>2858.2762200648258</v>
      </c>
      <c r="AK4" s="32">
        <f t="shared" si="2"/>
        <v>0</v>
      </c>
      <c r="AL4" s="32">
        <f t="shared" si="1"/>
        <v>2858.2762200648258</v>
      </c>
      <c r="AM4" s="33"/>
      <c r="AN4" s="33"/>
    </row>
    <row r="5" spans="1:40" ht="31.5" customHeight="1">
      <c r="A5" s="25" t="s">
        <v>211</v>
      </c>
      <c r="B5" s="25" t="s">
        <v>218</v>
      </c>
      <c r="C5" s="180" t="s">
        <v>218</v>
      </c>
      <c r="D5" s="26" t="s">
        <v>1226</v>
      </c>
      <c r="E5" s="27"/>
      <c r="F5" s="26"/>
      <c r="G5" s="28"/>
      <c r="H5" s="167" t="s">
        <v>6</v>
      </c>
      <c r="I5" s="66" t="s">
        <v>15</v>
      </c>
      <c r="J5" s="168" t="s">
        <v>8</v>
      </c>
      <c r="K5" s="109" t="s">
        <v>282</v>
      </c>
      <c r="L5" s="168" t="s">
        <v>1000</v>
      </c>
      <c r="M5" s="169">
        <v>2013</v>
      </c>
      <c r="N5" s="169">
        <v>2015</v>
      </c>
      <c r="O5" s="171">
        <v>150</v>
      </c>
      <c r="P5" s="170"/>
      <c r="Q5" s="252"/>
      <c r="R5" s="171"/>
      <c r="S5" s="171"/>
      <c r="T5" s="171"/>
      <c r="U5" s="171"/>
      <c r="V5" s="171"/>
      <c r="W5" s="119" t="s">
        <v>13</v>
      </c>
      <c r="X5" s="172" t="s">
        <v>12</v>
      </c>
      <c r="Y5" s="173"/>
      <c r="Z5" s="287" t="s">
        <v>1227</v>
      </c>
      <c r="AA5" s="17" t="s">
        <v>1267</v>
      </c>
      <c r="AB5" s="26" t="s">
        <v>1289</v>
      </c>
      <c r="AC5" s="117" t="s">
        <v>10</v>
      </c>
      <c r="AD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 s="32">
        <f t="shared" si="0"/>
        <v>0</v>
      </c>
      <c r="AK5" s="32">
        <f t="shared" ref="AK5" si="3">+SUM(AH5:AI5)</f>
        <v>0</v>
      </c>
      <c r="AL5" s="32">
        <f t="shared" si="1"/>
        <v>0</v>
      </c>
      <c r="AM5" s="33"/>
      <c r="AN5" s="33"/>
    </row>
    <row r="6" spans="1:40" ht="31.5" customHeight="1">
      <c r="A6" s="25" t="s">
        <v>211</v>
      </c>
      <c r="B6" s="25" t="s">
        <v>225</v>
      </c>
      <c r="C6" s="18" t="s">
        <v>225</v>
      </c>
      <c r="D6" s="26" t="s">
        <v>226</v>
      </c>
      <c r="E6" s="27">
        <v>44</v>
      </c>
      <c r="F6" s="26"/>
      <c r="G6" s="28" t="s">
        <v>227</v>
      </c>
      <c r="H6" s="64" t="s">
        <v>6</v>
      </c>
      <c r="I6" s="8" t="s">
        <v>282</v>
      </c>
      <c r="J6" s="51" t="s">
        <v>8</v>
      </c>
      <c r="K6" s="109" t="s">
        <v>282</v>
      </c>
      <c r="L6" s="64" t="s">
        <v>1000</v>
      </c>
      <c r="M6" s="56">
        <v>2012</v>
      </c>
      <c r="N6" s="56">
        <v>2016</v>
      </c>
      <c r="O6" s="104">
        <v>1500</v>
      </c>
      <c r="P6" s="29">
        <v>1200</v>
      </c>
      <c r="Q6" s="251">
        <v>23</v>
      </c>
      <c r="R6" s="104">
        <v>96.3</v>
      </c>
      <c r="S6" s="104">
        <v>317</v>
      </c>
      <c r="T6" s="104">
        <v>91.7</v>
      </c>
      <c r="U6" s="104">
        <v>972</v>
      </c>
      <c r="V6" s="104"/>
      <c r="W6" s="109" t="s">
        <v>11</v>
      </c>
      <c r="X6" s="118" t="s">
        <v>12</v>
      </c>
      <c r="Y6" s="88"/>
      <c r="Z6" s="293" t="s">
        <v>1059</v>
      </c>
      <c r="AA6" s="17" t="s">
        <v>228</v>
      </c>
      <c r="AB6" s="26" t="s">
        <v>1187</v>
      </c>
      <c r="AC6" s="117" t="s">
        <v>10</v>
      </c>
      <c r="AD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23</v>
      </c>
      <c r="AE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94.134897360703818</v>
      </c>
      <c r="AF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304.09511558012622</v>
      </c>
      <c r="AG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86.411538981914092</v>
      </c>
      <c r="AH6"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900.6327105554592</v>
      </c>
      <c r="AI6"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6" s="32">
        <f t="shared" si="0"/>
        <v>507.6415519227441</v>
      </c>
      <c r="AK6" s="32">
        <f t="shared" ref="AK6" si="4">+SUM(AH6:AI6)</f>
        <v>900.6327105554592</v>
      </c>
      <c r="AL6" s="32">
        <f t="shared" si="1"/>
        <v>1385.2742624782034</v>
      </c>
      <c r="AM6" s="33"/>
      <c r="AN6" s="33"/>
    </row>
    <row r="7" spans="1:40" ht="31.5" customHeight="1">
      <c r="A7" s="25" t="s">
        <v>211</v>
      </c>
      <c r="B7" s="25" t="s">
        <v>220</v>
      </c>
      <c r="C7" s="18" t="s">
        <v>221</v>
      </c>
      <c r="D7" s="26" t="s">
        <v>222</v>
      </c>
      <c r="E7" s="27"/>
      <c r="F7" s="26"/>
      <c r="G7" s="28" t="s">
        <v>223</v>
      </c>
      <c r="H7" s="64" t="s">
        <v>6</v>
      </c>
      <c r="I7" s="66" t="s">
        <v>7</v>
      </c>
      <c r="J7" s="51" t="s">
        <v>8</v>
      </c>
      <c r="K7" s="109" t="s">
        <v>7</v>
      </c>
      <c r="L7" s="64" t="s">
        <v>1000</v>
      </c>
      <c r="M7" s="75" t="s">
        <v>27</v>
      </c>
      <c r="N7" s="75" t="s">
        <v>27</v>
      </c>
      <c r="O7" s="104">
        <v>17094</v>
      </c>
      <c r="P7" s="29"/>
      <c r="Q7" s="251">
        <v>3927.083333333333</v>
      </c>
      <c r="R7" s="104">
        <v>3389.4166666666665</v>
      </c>
      <c r="S7" s="104">
        <v>3387.4166666666665</v>
      </c>
      <c r="T7" s="104">
        <v>2691.42</v>
      </c>
      <c r="U7" s="104"/>
      <c r="V7" s="104"/>
      <c r="W7" s="109" t="s">
        <v>13</v>
      </c>
      <c r="X7" s="118" t="s">
        <v>12</v>
      </c>
      <c r="Y7" s="88"/>
      <c r="Z7" s="292"/>
      <c r="AA7" s="17" t="s">
        <v>224</v>
      </c>
      <c r="AB7" s="26" t="s">
        <v>1268</v>
      </c>
      <c r="AC7" s="117"/>
      <c r="AD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3927.083333333333</v>
      </c>
      <c r="AE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3313.2127728901919</v>
      </c>
      <c r="AF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3249.5169172493556</v>
      </c>
      <c r="AG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2536.202227335913</v>
      </c>
      <c r="AH7"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7"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7" s="32">
        <f t="shared" si="0"/>
        <v>13026.015250808792</v>
      </c>
      <c r="AK7" s="32">
        <f t="shared" si="2"/>
        <v>0</v>
      </c>
      <c r="AL7" s="32">
        <f t="shared" si="1"/>
        <v>9098.9319174754601</v>
      </c>
      <c r="AM7" s="33"/>
      <c r="AN7" s="33"/>
    </row>
    <row r="8" spans="1:40" ht="31.5" customHeight="1">
      <c r="A8" s="25" t="s">
        <v>211</v>
      </c>
      <c r="B8" s="25" t="s">
        <v>225</v>
      </c>
      <c r="C8" s="18" t="s">
        <v>225</v>
      </c>
      <c r="D8" s="26"/>
      <c r="E8" s="27"/>
      <c r="F8" s="26" t="s">
        <v>229</v>
      </c>
      <c r="G8" s="28" t="s">
        <v>230</v>
      </c>
      <c r="H8" s="64" t="s">
        <v>16</v>
      </c>
      <c r="I8" s="66" t="s">
        <v>7</v>
      </c>
      <c r="J8" s="51" t="s">
        <v>8</v>
      </c>
      <c r="K8" s="109" t="s">
        <v>282</v>
      </c>
      <c r="L8" s="64" t="s">
        <v>1054</v>
      </c>
      <c r="M8" s="86">
        <v>2011</v>
      </c>
      <c r="N8" s="55">
        <v>2014</v>
      </c>
      <c r="O8" s="104">
        <v>132</v>
      </c>
      <c r="P8" s="29"/>
      <c r="Q8" s="251">
        <v>33</v>
      </c>
      <c r="R8" s="104">
        <v>33</v>
      </c>
      <c r="S8" s="104">
        <v>33</v>
      </c>
      <c r="T8" s="104"/>
      <c r="U8" s="104"/>
      <c r="V8" s="104"/>
      <c r="W8" s="109" t="s">
        <v>13</v>
      </c>
      <c r="X8" s="118" t="s">
        <v>12</v>
      </c>
      <c r="Y8" s="88"/>
      <c r="Z8" s="293" t="s">
        <v>1057</v>
      </c>
      <c r="AA8" s="17" t="s">
        <v>1058</v>
      </c>
      <c r="AB8" s="26" t="s">
        <v>276</v>
      </c>
      <c r="AC8" s="117" t="s">
        <v>10</v>
      </c>
      <c r="AD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33</v>
      </c>
      <c r="AE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32.258064516129032</v>
      </c>
      <c r="AF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31.656589319066768</v>
      </c>
      <c r="AG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8"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8"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8" s="10">
        <f t="shared" si="0"/>
        <v>96.914653835195793</v>
      </c>
      <c r="AK8" s="10">
        <f t="shared" si="2"/>
        <v>0</v>
      </c>
      <c r="AL8" s="10">
        <f t="shared" si="1"/>
        <v>63.914653835195793</v>
      </c>
      <c r="AM8" s="96"/>
      <c r="AN8" s="96"/>
    </row>
    <row r="9" spans="1:40" ht="31.5" customHeight="1">
      <c r="A9" s="25" t="s">
        <v>231</v>
      </c>
      <c r="B9" s="25" t="s">
        <v>676</v>
      </c>
      <c r="C9" s="18" t="s">
        <v>676</v>
      </c>
      <c r="D9" s="26" t="s">
        <v>1183</v>
      </c>
      <c r="E9" s="27"/>
      <c r="F9" s="26"/>
      <c r="G9" s="28" t="s">
        <v>1184</v>
      </c>
      <c r="H9" s="64" t="s">
        <v>6</v>
      </c>
      <c r="I9" s="66" t="s">
        <v>7</v>
      </c>
      <c r="J9" s="51" t="s">
        <v>10</v>
      </c>
      <c r="K9" s="109" t="s">
        <v>7</v>
      </c>
      <c r="L9" s="51" t="s">
        <v>444</v>
      </c>
      <c r="M9" s="75" t="s">
        <v>29</v>
      </c>
      <c r="N9" s="75" t="s">
        <v>29</v>
      </c>
      <c r="O9" s="104">
        <f>SUM(NIP_Pipeline[[#This Row],[2015/16 (£m)]:[2020/21 and Beyond  (£m)]])</f>
        <v>11858.92</v>
      </c>
      <c r="P9" s="29"/>
      <c r="Q9" s="251"/>
      <c r="R9" s="104"/>
      <c r="S9" s="104"/>
      <c r="T9" s="104">
        <v>1623.27</v>
      </c>
      <c r="U9" s="104">
        <v>6064.56</v>
      </c>
      <c r="V9" s="104">
        <v>4171.09</v>
      </c>
      <c r="W9" s="119" t="s">
        <v>13</v>
      </c>
      <c r="X9" s="120" t="s">
        <v>19</v>
      </c>
      <c r="Y9" s="88" t="s">
        <v>249</v>
      </c>
      <c r="Z9" s="294" t="s">
        <v>1185</v>
      </c>
      <c r="AA9" s="17" t="s">
        <v>1186</v>
      </c>
      <c r="AB9" s="243" t="s">
        <v>1258</v>
      </c>
      <c r="AC9" s="117"/>
      <c r="AD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1623.27</v>
      </c>
      <c r="AH9"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6064.56</v>
      </c>
      <c r="AI9"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4171.09</v>
      </c>
      <c r="AJ9" s="32">
        <f t="shared" si="0"/>
        <v>1623.27</v>
      </c>
      <c r="AK9" s="32">
        <f t="shared" si="2"/>
        <v>10235.650000000001</v>
      </c>
      <c r="AL9" s="32">
        <f t="shared" si="1"/>
        <v>11858.920000000002</v>
      </c>
      <c r="AM9" s="33"/>
      <c r="AN9" s="33"/>
    </row>
    <row r="10" spans="1:40" ht="31.5" customHeight="1">
      <c r="A10" s="25" t="s">
        <v>231</v>
      </c>
      <c r="B10" s="25" t="s">
        <v>676</v>
      </c>
      <c r="C10" s="18" t="s">
        <v>676</v>
      </c>
      <c r="D10" s="26" t="s">
        <v>677</v>
      </c>
      <c r="E10" s="27"/>
      <c r="F10" s="26"/>
      <c r="G10" s="28" t="s">
        <v>678</v>
      </c>
      <c r="H10" s="64" t="s">
        <v>22</v>
      </c>
      <c r="I10" s="66" t="s">
        <v>7</v>
      </c>
      <c r="J10" s="51" t="s">
        <v>10</v>
      </c>
      <c r="K10" s="109" t="s">
        <v>7</v>
      </c>
      <c r="L10" s="64" t="s">
        <v>1000</v>
      </c>
      <c r="M10" s="86">
        <v>2010</v>
      </c>
      <c r="N10" s="86">
        <v>2015</v>
      </c>
      <c r="O10" s="104">
        <v>395.2</v>
      </c>
      <c r="P10" s="29"/>
      <c r="Q10" s="251">
        <v>92.5</v>
      </c>
      <c r="R10" s="104">
        <v>109.3</v>
      </c>
      <c r="S10" s="104">
        <v>93.2</v>
      </c>
      <c r="T10" s="104"/>
      <c r="U10" s="104"/>
      <c r="V10" s="104"/>
      <c r="W10" s="119" t="s">
        <v>13</v>
      </c>
      <c r="X10" s="120" t="s">
        <v>19</v>
      </c>
      <c r="Y10" s="88" t="s">
        <v>249</v>
      </c>
      <c r="Z10" s="293" t="s">
        <v>1060</v>
      </c>
      <c r="AA10" s="17" t="s">
        <v>1259</v>
      </c>
      <c r="AB10" s="26" t="s">
        <v>1292</v>
      </c>
      <c r="AC10" s="117"/>
      <c r="AD1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92.5</v>
      </c>
      <c r="AE1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109.3</v>
      </c>
      <c r="AF1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93.2</v>
      </c>
      <c r="AG1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0"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0"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0" s="32">
        <f t="shared" si="0"/>
        <v>295</v>
      </c>
      <c r="AK10" s="32">
        <f t="shared" si="2"/>
        <v>0</v>
      </c>
      <c r="AL10" s="32">
        <f t="shared" si="1"/>
        <v>202.5</v>
      </c>
      <c r="AM10" s="33"/>
      <c r="AN10" s="33"/>
    </row>
    <row r="11" spans="1:40" ht="31.5" customHeight="1">
      <c r="A11" s="25" t="s">
        <v>231</v>
      </c>
      <c r="B11" s="25" t="s">
        <v>676</v>
      </c>
      <c r="C11" s="18" t="s">
        <v>676</v>
      </c>
      <c r="D11" s="26" t="s">
        <v>679</v>
      </c>
      <c r="E11" s="27"/>
      <c r="F11" s="26"/>
      <c r="G11" s="28" t="s">
        <v>680</v>
      </c>
      <c r="H11" s="64" t="s">
        <v>14</v>
      </c>
      <c r="I11" s="66" t="s">
        <v>7</v>
      </c>
      <c r="J11" s="51" t="s">
        <v>10</v>
      </c>
      <c r="K11" s="109" t="s">
        <v>7</v>
      </c>
      <c r="L11" s="64" t="s">
        <v>1000</v>
      </c>
      <c r="M11" s="86">
        <v>2010</v>
      </c>
      <c r="N11" s="86">
        <v>2015</v>
      </c>
      <c r="O11" s="104">
        <v>535</v>
      </c>
      <c r="P11" s="29"/>
      <c r="Q11" s="251">
        <v>121.6</v>
      </c>
      <c r="R11" s="104">
        <v>132.5</v>
      </c>
      <c r="S11" s="104">
        <v>131.9</v>
      </c>
      <c r="T11" s="104"/>
      <c r="U11" s="104"/>
      <c r="V11" s="104"/>
      <c r="W11" s="119" t="s">
        <v>13</v>
      </c>
      <c r="X11" s="120" t="s">
        <v>19</v>
      </c>
      <c r="Y11" s="88" t="s">
        <v>249</v>
      </c>
      <c r="Z11" s="293" t="s">
        <v>1111</v>
      </c>
      <c r="AA11" s="17" t="s">
        <v>1259</v>
      </c>
      <c r="AB11" s="26" t="s">
        <v>1292</v>
      </c>
      <c r="AC11" s="117"/>
      <c r="AD1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121.6</v>
      </c>
      <c r="AE1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132.5</v>
      </c>
      <c r="AF1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131.9</v>
      </c>
      <c r="AG1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1"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1"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1" s="32">
        <f t="shared" si="0"/>
        <v>386</v>
      </c>
      <c r="AK11" s="32">
        <f t="shared" si="2"/>
        <v>0</v>
      </c>
      <c r="AL11" s="32">
        <f t="shared" si="1"/>
        <v>264.39999999999998</v>
      </c>
      <c r="AM11" s="33"/>
      <c r="AN11" s="33"/>
    </row>
    <row r="12" spans="1:40" ht="31.5" customHeight="1">
      <c r="A12" s="25" t="s">
        <v>231</v>
      </c>
      <c r="B12" s="25" t="s">
        <v>676</v>
      </c>
      <c r="C12" s="18" t="s">
        <v>676</v>
      </c>
      <c r="D12" s="26" t="s">
        <v>681</v>
      </c>
      <c r="E12" s="27"/>
      <c r="F12" s="26"/>
      <c r="G12" s="28" t="s">
        <v>682</v>
      </c>
      <c r="H12" s="64" t="s">
        <v>21</v>
      </c>
      <c r="I12" s="66" t="s">
        <v>7</v>
      </c>
      <c r="J12" s="51" t="s">
        <v>10</v>
      </c>
      <c r="K12" s="109" t="s">
        <v>7</v>
      </c>
      <c r="L12" s="64" t="s">
        <v>1000</v>
      </c>
      <c r="M12" s="86">
        <v>2010</v>
      </c>
      <c r="N12" s="86">
        <v>2015</v>
      </c>
      <c r="O12" s="104">
        <v>578.79999999999995</v>
      </c>
      <c r="P12" s="29"/>
      <c r="Q12" s="251">
        <v>117.86</v>
      </c>
      <c r="R12" s="104">
        <v>145.03</v>
      </c>
      <c r="S12" s="104">
        <v>128.96</v>
      </c>
      <c r="T12" s="104"/>
      <c r="U12" s="104"/>
      <c r="V12" s="104"/>
      <c r="W12" s="119" t="s">
        <v>13</v>
      </c>
      <c r="X12" s="120" t="s">
        <v>19</v>
      </c>
      <c r="Y12" s="88" t="s">
        <v>249</v>
      </c>
      <c r="Z12" s="293" t="s">
        <v>1112</v>
      </c>
      <c r="AA12" s="17" t="s">
        <v>681</v>
      </c>
      <c r="AB12" s="26" t="s">
        <v>1292</v>
      </c>
      <c r="AC12" s="117"/>
      <c r="AD1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117.86</v>
      </c>
      <c r="AE1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145.03</v>
      </c>
      <c r="AF1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128.96</v>
      </c>
      <c r="AG1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2"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2"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2" s="32">
        <f t="shared" si="0"/>
        <v>391.85</v>
      </c>
      <c r="AK12" s="32">
        <f t="shared" si="2"/>
        <v>0</v>
      </c>
      <c r="AL12" s="32">
        <f t="shared" si="1"/>
        <v>273.99</v>
      </c>
      <c r="AM12" s="6"/>
    </row>
    <row r="13" spans="1:40" ht="31.5" customHeight="1">
      <c r="A13" s="25" t="s">
        <v>231</v>
      </c>
      <c r="B13" s="25" t="s">
        <v>676</v>
      </c>
      <c r="C13" s="18" t="s">
        <v>676</v>
      </c>
      <c r="D13" s="26" t="s">
        <v>683</v>
      </c>
      <c r="E13" s="27"/>
      <c r="F13" s="26"/>
      <c r="G13" s="28" t="s">
        <v>684</v>
      </c>
      <c r="H13" s="64" t="s">
        <v>20</v>
      </c>
      <c r="I13" s="66" t="s">
        <v>7</v>
      </c>
      <c r="J13" s="51" t="s">
        <v>10</v>
      </c>
      <c r="K13" s="109" t="s">
        <v>7</v>
      </c>
      <c r="L13" s="64" t="s">
        <v>1000</v>
      </c>
      <c r="M13" s="86">
        <v>2010</v>
      </c>
      <c r="N13" s="86">
        <v>2015</v>
      </c>
      <c r="O13" s="104">
        <v>559.20000000000005</v>
      </c>
      <c r="P13" s="29"/>
      <c r="Q13" s="251">
        <v>152.15</v>
      </c>
      <c r="R13" s="104">
        <v>141.74</v>
      </c>
      <c r="S13" s="104">
        <v>114.95</v>
      </c>
      <c r="T13" s="104"/>
      <c r="U13" s="104"/>
      <c r="V13" s="104"/>
      <c r="W13" s="119" t="s">
        <v>13</v>
      </c>
      <c r="X13" s="120" t="s">
        <v>19</v>
      </c>
      <c r="Y13" s="88" t="s">
        <v>249</v>
      </c>
      <c r="Z13" s="293" t="s">
        <v>1113</v>
      </c>
      <c r="AA13" s="125" t="s">
        <v>1260</v>
      </c>
      <c r="AB13" s="26" t="s">
        <v>1292</v>
      </c>
      <c r="AC13" s="117"/>
      <c r="AD1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152.15</v>
      </c>
      <c r="AE1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141.74</v>
      </c>
      <c r="AF1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114.95</v>
      </c>
      <c r="AG1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3"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3"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3" s="32">
        <f t="shared" si="0"/>
        <v>408.84</v>
      </c>
      <c r="AK13" s="32">
        <f t="shared" si="2"/>
        <v>0</v>
      </c>
      <c r="AL13" s="32">
        <f t="shared" si="1"/>
        <v>256.68999999999994</v>
      </c>
      <c r="AM13" s="6"/>
    </row>
    <row r="14" spans="1:40" ht="31.5" customHeight="1">
      <c r="A14" s="25" t="s">
        <v>231</v>
      </c>
      <c r="B14" s="25" t="s">
        <v>676</v>
      </c>
      <c r="C14" s="18" t="s">
        <v>676</v>
      </c>
      <c r="D14" s="26" t="s">
        <v>685</v>
      </c>
      <c r="E14" s="27"/>
      <c r="F14" s="26"/>
      <c r="G14" s="28" t="s">
        <v>686</v>
      </c>
      <c r="H14" s="64" t="s">
        <v>18</v>
      </c>
      <c r="I14" s="66" t="s">
        <v>7</v>
      </c>
      <c r="J14" s="51" t="s">
        <v>10</v>
      </c>
      <c r="K14" s="109" t="s">
        <v>7</v>
      </c>
      <c r="L14" s="64" t="s">
        <v>1000</v>
      </c>
      <c r="M14" s="86">
        <v>2010</v>
      </c>
      <c r="N14" s="86">
        <v>2015</v>
      </c>
      <c r="O14" s="104">
        <v>595.20000000000005</v>
      </c>
      <c r="P14" s="29"/>
      <c r="Q14" s="251">
        <v>122.1</v>
      </c>
      <c r="R14" s="104">
        <v>155.1</v>
      </c>
      <c r="S14" s="104">
        <v>143</v>
      </c>
      <c r="T14" s="104"/>
      <c r="U14" s="104"/>
      <c r="V14" s="104"/>
      <c r="W14" s="119" t="s">
        <v>13</v>
      </c>
      <c r="X14" s="120" t="s">
        <v>19</v>
      </c>
      <c r="Y14" s="88" t="s">
        <v>249</v>
      </c>
      <c r="Z14" s="293" t="s">
        <v>1113</v>
      </c>
      <c r="AA14" s="125" t="s">
        <v>1260</v>
      </c>
      <c r="AB14" s="26" t="s">
        <v>1292</v>
      </c>
      <c r="AC14" s="117"/>
      <c r="AD1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122.1</v>
      </c>
      <c r="AE1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155.1</v>
      </c>
      <c r="AF1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143</v>
      </c>
      <c r="AG1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4"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4"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4" s="32">
        <f t="shared" si="0"/>
        <v>420.2</v>
      </c>
      <c r="AK14" s="32">
        <f t="shared" si="2"/>
        <v>0</v>
      </c>
      <c r="AL14" s="32">
        <f t="shared" si="1"/>
        <v>298.10000000000002</v>
      </c>
      <c r="AM14" s="6"/>
    </row>
    <row r="15" spans="1:40" ht="31.5" customHeight="1">
      <c r="A15" s="25" t="s">
        <v>231</v>
      </c>
      <c r="B15" s="25" t="s">
        <v>676</v>
      </c>
      <c r="C15" s="18" t="s">
        <v>676</v>
      </c>
      <c r="D15" s="26" t="s">
        <v>687</v>
      </c>
      <c r="E15" s="27"/>
      <c r="F15" s="26"/>
      <c r="G15" s="28" t="s">
        <v>688</v>
      </c>
      <c r="H15" s="64" t="s">
        <v>17</v>
      </c>
      <c r="I15" s="66" t="s">
        <v>7</v>
      </c>
      <c r="J15" s="51" t="s">
        <v>10</v>
      </c>
      <c r="K15" s="109" t="s">
        <v>7</v>
      </c>
      <c r="L15" s="64" t="s">
        <v>1000</v>
      </c>
      <c r="M15" s="86">
        <v>2010</v>
      </c>
      <c r="N15" s="86">
        <v>2015</v>
      </c>
      <c r="O15" s="104">
        <v>210.6</v>
      </c>
      <c r="P15" s="29"/>
      <c r="Q15" s="251">
        <v>46.4</v>
      </c>
      <c r="R15" s="104">
        <v>48.3</v>
      </c>
      <c r="S15" s="104">
        <v>49</v>
      </c>
      <c r="T15" s="104"/>
      <c r="U15" s="104"/>
      <c r="V15" s="104"/>
      <c r="W15" s="119" t="s">
        <v>13</v>
      </c>
      <c r="X15" s="120" t="s">
        <v>19</v>
      </c>
      <c r="Y15" s="88" t="s">
        <v>249</v>
      </c>
      <c r="Z15" s="293" t="s">
        <v>1114</v>
      </c>
      <c r="AA15" s="125" t="s">
        <v>1157</v>
      </c>
      <c r="AB15" s="26" t="s">
        <v>1292</v>
      </c>
      <c r="AC15" s="117"/>
      <c r="AD1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46.4</v>
      </c>
      <c r="AE1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48.3</v>
      </c>
      <c r="AF1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49</v>
      </c>
      <c r="AG1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5"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5"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5" s="32">
        <f t="shared" si="0"/>
        <v>143.69999999999999</v>
      </c>
      <c r="AK15" s="32">
        <f t="shared" si="2"/>
        <v>0</v>
      </c>
      <c r="AL15" s="32">
        <f t="shared" si="1"/>
        <v>97.299999999999983</v>
      </c>
      <c r="AM15" s="6"/>
    </row>
    <row r="16" spans="1:40" ht="31.5" customHeight="1">
      <c r="A16" s="25" t="s">
        <v>231</v>
      </c>
      <c r="B16" s="25" t="s">
        <v>676</v>
      </c>
      <c r="C16" s="18" t="s">
        <v>676</v>
      </c>
      <c r="D16" s="26" t="s">
        <v>689</v>
      </c>
      <c r="E16" s="27"/>
      <c r="F16" s="26"/>
      <c r="G16" s="28" t="s">
        <v>690</v>
      </c>
      <c r="H16" s="64" t="s">
        <v>25</v>
      </c>
      <c r="I16" s="66" t="s">
        <v>7</v>
      </c>
      <c r="J16" s="51" t="s">
        <v>10</v>
      </c>
      <c r="K16" s="109" t="s">
        <v>7</v>
      </c>
      <c r="L16" s="64" t="s">
        <v>1000</v>
      </c>
      <c r="M16" s="86">
        <v>2010</v>
      </c>
      <c r="N16" s="86">
        <v>2015</v>
      </c>
      <c r="O16" s="104">
        <v>699.5</v>
      </c>
      <c r="P16" s="29"/>
      <c r="Q16" s="251">
        <v>146.5</v>
      </c>
      <c r="R16" s="104">
        <v>161.80000000000001</v>
      </c>
      <c r="S16" s="104">
        <v>174.2</v>
      </c>
      <c r="T16" s="104"/>
      <c r="U16" s="104"/>
      <c r="V16" s="104"/>
      <c r="W16" s="119" t="s">
        <v>13</v>
      </c>
      <c r="X16" s="120" t="s">
        <v>19</v>
      </c>
      <c r="Y16" s="88" t="s">
        <v>249</v>
      </c>
      <c r="Z16" s="293" t="s">
        <v>1114</v>
      </c>
      <c r="AA16" s="125" t="s">
        <v>1157</v>
      </c>
      <c r="AB16" s="26" t="s">
        <v>1292</v>
      </c>
      <c r="AC16" s="117"/>
      <c r="AD1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146.5</v>
      </c>
      <c r="AE1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161.80000000000001</v>
      </c>
      <c r="AF1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174.2</v>
      </c>
      <c r="AG1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6"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6"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6" s="32">
        <f t="shared" si="0"/>
        <v>482.5</v>
      </c>
      <c r="AK16" s="32">
        <f t="shared" si="2"/>
        <v>0</v>
      </c>
      <c r="AL16" s="32">
        <f t="shared" si="1"/>
        <v>336</v>
      </c>
      <c r="AM16" s="6"/>
    </row>
    <row r="17" spans="1:39" ht="31.5" customHeight="1">
      <c r="A17" s="25" t="s">
        <v>231</v>
      </c>
      <c r="B17" s="25" t="s">
        <v>676</v>
      </c>
      <c r="C17" s="18" t="s">
        <v>676</v>
      </c>
      <c r="D17" s="26" t="s">
        <v>691</v>
      </c>
      <c r="E17" s="27"/>
      <c r="F17" s="26"/>
      <c r="G17" s="28" t="s">
        <v>692</v>
      </c>
      <c r="H17" s="64" t="s">
        <v>17</v>
      </c>
      <c r="I17" s="66" t="s">
        <v>7</v>
      </c>
      <c r="J17" s="51" t="s">
        <v>10</v>
      </c>
      <c r="K17" s="109" t="s">
        <v>7</v>
      </c>
      <c r="L17" s="64" t="s">
        <v>1000</v>
      </c>
      <c r="M17" s="86">
        <v>2010</v>
      </c>
      <c r="N17" s="86">
        <v>2015</v>
      </c>
      <c r="O17" s="104">
        <v>450</v>
      </c>
      <c r="P17" s="29"/>
      <c r="Q17" s="251">
        <v>80.072252424032868</v>
      </c>
      <c r="R17" s="104">
        <v>101.48162233878712</v>
      </c>
      <c r="S17" s="104">
        <v>102.40211812903647</v>
      </c>
      <c r="T17" s="104"/>
      <c r="U17" s="104"/>
      <c r="V17" s="104"/>
      <c r="W17" s="119" t="s">
        <v>13</v>
      </c>
      <c r="X17" s="120" t="s">
        <v>19</v>
      </c>
      <c r="Y17" s="88" t="s">
        <v>249</v>
      </c>
      <c r="Z17" s="293" t="s">
        <v>1061</v>
      </c>
      <c r="AA17" s="17" t="s">
        <v>1261</v>
      </c>
      <c r="AB17" s="26" t="s">
        <v>1292</v>
      </c>
      <c r="AC17" s="117"/>
      <c r="AD1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80.072252424032868</v>
      </c>
      <c r="AE1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101.4816223387871</v>
      </c>
      <c r="AF1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102.40211812903647</v>
      </c>
      <c r="AG1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7"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7"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7" s="32">
        <f t="shared" si="0"/>
        <v>283.95599289185645</v>
      </c>
      <c r="AK17" s="32">
        <f t="shared" si="2"/>
        <v>0</v>
      </c>
      <c r="AL17" s="32">
        <f t="shared" si="1"/>
        <v>203.8837404678236</v>
      </c>
      <c r="AM17" s="6"/>
    </row>
    <row r="18" spans="1:39" ht="31.5" customHeight="1">
      <c r="A18" s="25" t="s">
        <v>231</v>
      </c>
      <c r="B18" s="25" t="s">
        <v>676</v>
      </c>
      <c r="C18" s="18" t="s">
        <v>676</v>
      </c>
      <c r="D18" s="26" t="s">
        <v>693</v>
      </c>
      <c r="E18" s="27"/>
      <c r="F18" s="26"/>
      <c r="G18" s="28" t="s">
        <v>694</v>
      </c>
      <c r="H18" s="64" t="s">
        <v>21</v>
      </c>
      <c r="I18" s="66" t="s">
        <v>7</v>
      </c>
      <c r="J18" s="51" t="s">
        <v>10</v>
      </c>
      <c r="K18" s="109" t="s">
        <v>7</v>
      </c>
      <c r="L18" s="64" t="s">
        <v>1000</v>
      </c>
      <c r="M18" s="86">
        <v>2010</v>
      </c>
      <c r="N18" s="86">
        <v>2015</v>
      </c>
      <c r="O18" s="104">
        <v>630</v>
      </c>
      <c r="P18" s="29"/>
      <c r="Q18" s="251">
        <v>112.65243709043391</v>
      </c>
      <c r="R18" s="104">
        <v>143.5307729578787</v>
      </c>
      <c r="S18" s="104">
        <v>164.13738014183943</v>
      </c>
      <c r="T18" s="104"/>
      <c r="U18" s="104"/>
      <c r="V18" s="104"/>
      <c r="W18" s="119" t="s">
        <v>13</v>
      </c>
      <c r="X18" s="120" t="s">
        <v>19</v>
      </c>
      <c r="Y18" s="88" t="s">
        <v>249</v>
      </c>
      <c r="Z18" s="293" t="s">
        <v>1115</v>
      </c>
      <c r="AA18" s="17" t="s">
        <v>1261</v>
      </c>
      <c r="AB18" s="26" t="s">
        <v>1292</v>
      </c>
      <c r="AC18" s="117"/>
      <c r="AD1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112.65243709043391</v>
      </c>
      <c r="AE1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143.5307729578787</v>
      </c>
      <c r="AF1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164.13738014183943</v>
      </c>
      <c r="AG1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8"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8"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8" s="32">
        <f t="shared" si="0"/>
        <v>420.32059019015207</v>
      </c>
      <c r="AK18" s="32">
        <f t="shared" si="2"/>
        <v>0</v>
      </c>
      <c r="AL18" s="32">
        <f t="shared" si="1"/>
        <v>307.66815309971815</v>
      </c>
      <c r="AM18" s="6"/>
    </row>
    <row r="19" spans="1:39" ht="31.5" customHeight="1">
      <c r="A19" s="25" t="s">
        <v>231</v>
      </c>
      <c r="B19" s="25" t="s">
        <v>676</v>
      </c>
      <c r="C19" s="18" t="s">
        <v>676</v>
      </c>
      <c r="D19" s="26" t="s">
        <v>695</v>
      </c>
      <c r="E19" s="27"/>
      <c r="F19" s="26"/>
      <c r="G19" s="28" t="s">
        <v>696</v>
      </c>
      <c r="H19" s="64" t="s">
        <v>26</v>
      </c>
      <c r="I19" s="66" t="s">
        <v>7</v>
      </c>
      <c r="J19" s="51" t="s">
        <v>10</v>
      </c>
      <c r="K19" s="109" t="s">
        <v>7</v>
      </c>
      <c r="L19" s="64" t="s">
        <v>1000</v>
      </c>
      <c r="M19" s="86">
        <v>2010</v>
      </c>
      <c r="N19" s="86">
        <v>2015</v>
      </c>
      <c r="O19" s="104">
        <v>726.01</v>
      </c>
      <c r="P19" s="29"/>
      <c r="Q19" s="251">
        <v>121.78</v>
      </c>
      <c r="R19" s="104">
        <v>182.68</v>
      </c>
      <c r="S19" s="104">
        <v>165.26</v>
      </c>
      <c r="T19" s="104"/>
      <c r="U19" s="104"/>
      <c r="V19" s="104"/>
      <c r="W19" s="119" t="s">
        <v>13</v>
      </c>
      <c r="X19" s="120" t="s">
        <v>19</v>
      </c>
      <c r="Y19" s="88" t="s">
        <v>249</v>
      </c>
      <c r="Z19" s="293" t="s">
        <v>1062</v>
      </c>
      <c r="AA19" s="125" t="s">
        <v>1262</v>
      </c>
      <c r="AB19" s="26" t="s">
        <v>1292</v>
      </c>
      <c r="AC19" s="117"/>
      <c r="AD1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121.78</v>
      </c>
      <c r="AE1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182.68</v>
      </c>
      <c r="AF1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165.26</v>
      </c>
      <c r="AG1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9"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9"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9" s="32">
        <f t="shared" si="0"/>
        <v>469.72</v>
      </c>
      <c r="AK19" s="32">
        <f t="shared" si="2"/>
        <v>0</v>
      </c>
      <c r="AL19" s="32">
        <f t="shared" si="1"/>
        <v>347.94000000000005</v>
      </c>
      <c r="AM19" s="6"/>
    </row>
    <row r="20" spans="1:39" ht="31.5" customHeight="1">
      <c r="A20" s="25" t="s">
        <v>231</v>
      </c>
      <c r="B20" s="25" t="s">
        <v>676</v>
      </c>
      <c r="C20" s="18" t="s">
        <v>676</v>
      </c>
      <c r="D20" s="26" t="s">
        <v>697</v>
      </c>
      <c r="E20" s="27"/>
      <c r="F20" s="26"/>
      <c r="G20" s="28" t="s">
        <v>698</v>
      </c>
      <c r="H20" s="64" t="s">
        <v>24</v>
      </c>
      <c r="I20" s="66" t="s">
        <v>7</v>
      </c>
      <c r="J20" s="51" t="s">
        <v>10</v>
      </c>
      <c r="K20" s="109" t="s">
        <v>7</v>
      </c>
      <c r="L20" s="64" t="s">
        <v>1000</v>
      </c>
      <c r="M20" s="86">
        <v>2010</v>
      </c>
      <c r="N20" s="86">
        <v>2015</v>
      </c>
      <c r="O20" s="104">
        <v>511.91</v>
      </c>
      <c r="P20" s="29"/>
      <c r="Q20" s="251">
        <v>91.23</v>
      </c>
      <c r="R20" s="104">
        <v>136.55000000000001</v>
      </c>
      <c r="S20" s="104">
        <v>141.56</v>
      </c>
      <c r="T20" s="104"/>
      <c r="U20" s="104"/>
      <c r="V20" s="104"/>
      <c r="W20" s="119" t="s">
        <v>13</v>
      </c>
      <c r="X20" s="120" t="s">
        <v>19</v>
      </c>
      <c r="Y20" s="88" t="s">
        <v>249</v>
      </c>
      <c r="Z20" s="293" t="s">
        <v>1062</v>
      </c>
      <c r="AA20" s="125" t="s">
        <v>1262</v>
      </c>
      <c r="AB20" s="26" t="s">
        <v>1292</v>
      </c>
      <c r="AC20" s="117"/>
      <c r="AD2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91.23</v>
      </c>
      <c r="AE2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136.55000000000001</v>
      </c>
      <c r="AF2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141.56</v>
      </c>
      <c r="AG2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0"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0"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0" s="32">
        <f t="shared" si="0"/>
        <v>369.34000000000003</v>
      </c>
      <c r="AK20" s="32">
        <f t="shared" si="2"/>
        <v>0</v>
      </c>
      <c r="AL20" s="32">
        <f t="shared" si="1"/>
        <v>278.11</v>
      </c>
      <c r="AM20" s="6"/>
    </row>
    <row r="21" spans="1:39" ht="31.5" customHeight="1">
      <c r="A21" s="25" t="s">
        <v>231</v>
      </c>
      <c r="B21" s="25" t="s">
        <v>676</v>
      </c>
      <c r="C21" s="18" t="s">
        <v>676</v>
      </c>
      <c r="D21" s="26" t="s">
        <v>699</v>
      </c>
      <c r="E21" s="27"/>
      <c r="F21" s="26"/>
      <c r="G21" s="28" t="s">
        <v>700</v>
      </c>
      <c r="H21" s="64" t="s">
        <v>25</v>
      </c>
      <c r="I21" s="66" t="s">
        <v>7</v>
      </c>
      <c r="J21" s="51" t="s">
        <v>10</v>
      </c>
      <c r="K21" s="109" t="s">
        <v>7</v>
      </c>
      <c r="L21" s="64" t="s">
        <v>1000</v>
      </c>
      <c r="M21" s="86">
        <v>2010</v>
      </c>
      <c r="N21" s="86">
        <v>2015</v>
      </c>
      <c r="O21" s="104">
        <v>484.72</v>
      </c>
      <c r="P21" s="29"/>
      <c r="Q21" s="251">
        <v>85.79</v>
      </c>
      <c r="R21" s="104">
        <v>106.13</v>
      </c>
      <c r="S21" s="104">
        <v>109.9</v>
      </c>
      <c r="T21" s="104"/>
      <c r="U21" s="104"/>
      <c r="V21" s="104"/>
      <c r="W21" s="119" t="s">
        <v>13</v>
      </c>
      <c r="X21" s="120" t="s">
        <v>19</v>
      </c>
      <c r="Y21" s="88" t="s">
        <v>249</v>
      </c>
      <c r="Z21" s="293" t="s">
        <v>1062</v>
      </c>
      <c r="AA21" s="125" t="s">
        <v>1262</v>
      </c>
      <c r="AB21" s="26" t="s">
        <v>1292</v>
      </c>
      <c r="AC21" s="117"/>
      <c r="AD2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85.79</v>
      </c>
      <c r="AE2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106.13</v>
      </c>
      <c r="AF2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109.9</v>
      </c>
      <c r="AG2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1"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1"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1" s="32">
        <f t="shared" si="0"/>
        <v>301.82000000000005</v>
      </c>
      <c r="AK21" s="32">
        <f t="shared" si="2"/>
        <v>0</v>
      </c>
      <c r="AL21" s="32">
        <f t="shared" si="1"/>
        <v>216.03000000000003</v>
      </c>
      <c r="AM21" s="6"/>
    </row>
    <row r="22" spans="1:39" ht="31.5" customHeight="1">
      <c r="A22" s="25" t="s">
        <v>231</v>
      </c>
      <c r="B22" s="25" t="s">
        <v>676</v>
      </c>
      <c r="C22" s="18" t="s">
        <v>676</v>
      </c>
      <c r="D22" s="26" t="s">
        <v>701</v>
      </c>
      <c r="E22" s="27"/>
      <c r="F22" s="26"/>
      <c r="G22" s="28" t="s">
        <v>702</v>
      </c>
      <c r="H22" s="64" t="s">
        <v>23</v>
      </c>
      <c r="I22" s="66" t="s">
        <v>7</v>
      </c>
      <c r="J22" s="51" t="s">
        <v>10</v>
      </c>
      <c r="K22" s="109" t="s">
        <v>7</v>
      </c>
      <c r="L22" s="64" t="s">
        <v>1000</v>
      </c>
      <c r="M22" s="86">
        <v>2010</v>
      </c>
      <c r="N22" s="86">
        <v>2015</v>
      </c>
      <c r="O22" s="104">
        <v>249.5</v>
      </c>
      <c r="P22" s="29"/>
      <c r="Q22" s="251">
        <v>60.8</v>
      </c>
      <c r="R22" s="104">
        <v>48.1</v>
      </c>
      <c r="S22" s="104">
        <v>51.1</v>
      </c>
      <c r="T22" s="104"/>
      <c r="U22" s="104"/>
      <c r="V22" s="104"/>
      <c r="W22" s="119" t="s">
        <v>13</v>
      </c>
      <c r="X22" s="120" t="s">
        <v>19</v>
      </c>
      <c r="Y22" s="88" t="s">
        <v>249</v>
      </c>
      <c r="Z22" s="293" t="s">
        <v>1113</v>
      </c>
      <c r="AA22" s="125" t="s">
        <v>1260</v>
      </c>
      <c r="AB22" s="26" t="s">
        <v>1292</v>
      </c>
      <c r="AC22" s="117"/>
      <c r="AD2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60.8</v>
      </c>
      <c r="AE2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48.1</v>
      </c>
      <c r="AF2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51.1</v>
      </c>
      <c r="AG2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2"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2"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2" s="32">
        <f t="shared" si="0"/>
        <v>160</v>
      </c>
      <c r="AK22" s="32">
        <f t="shared" si="2"/>
        <v>0</v>
      </c>
      <c r="AL22" s="32">
        <f t="shared" si="1"/>
        <v>99.2</v>
      </c>
      <c r="AM22" s="6"/>
    </row>
    <row r="23" spans="1:39" ht="31.5" customHeight="1">
      <c r="A23" s="25" t="s">
        <v>231</v>
      </c>
      <c r="B23" s="25" t="s">
        <v>676</v>
      </c>
      <c r="C23" s="18" t="s">
        <v>676</v>
      </c>
      <c r="D23" s="26" t="s">
        <v>703</v>
      </c>
      <c r="E23" s="27"/>
      <c r="F23" s="26"/>
      <c r="G23" s="28" t="s">
        <v>704</v>
      </c>
      <c r="H23" s="64" t="s">
        <v>16</v>
      </c>
      <c r="I23" s="66" t="s">
        <v>7</v>
      </c>
      <c r="J23" s="51" t="s">
        <v>10</v>
      </c>
      <c r="K23" s="109" t="s">
        <v>7</v>
      </c>
      <c r="L23" s="64" t="s">
        <v>1000</v>
      </c>
      <c r="M23" s="86">
        <v>2010</v>
      </c>
      <c r="N23" s="86">
        <v>2015</v>
      </c>
      <c r="O23" s="104">
        <v>353.8</v>
      </c>
      <c r="P23" s="29"/>
      <c r="Q23" s="251">
        <v>67.3</v>
      </c>
      <c r="R23" s="104">
        <v>75.7</v>
      </c>
      <c r="S23" s="104">
        <v>79.7</v>
      </c>
      <c r="T23" s="104"/>
      <c r="U23" s="104"/>
      <c r="V23" s="104"/>
      <c r="W23" s="119" t="s">
        <v>13</v>
      </c>
      <c r="X23" s="120" t="s">
        <v>19</v>
      </c>
      <c r="Y23" s="88" t="s">
        <v>249</v>
      </c>
      <c r="Z23" s="293" t="s">
        <v>1113</v>
      </c>
      <c r="AA23" s="125" t="s">
        <v>1260</v>
      </c>
      <c r="AB23" s="26" t="s">
        <v>1292</v>
      </c>
      <c r="AC23" s="117"/>
      <c r="AD2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67.3</v>
      </c>
      <c r="AE2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75.7</v>
      </c>
      <c r="AF2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79.7</v>
      </c>
      <c r="AG2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3"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3"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3" s="32">
        <f t="shared" si="0"/>
        <v>222.7</v>
      </c>
      <c r="AK23" s="32">
        <f t="shared" si="2"/>
        <v>0</v>
      </c>
      <c r="AL23" s="32">
        <f t="shared" si="1"/>
        <v>155.39999999999998</v>
      </c>
      <c r="AM23" s="6"/>
    </row>
    <row r="24" spans="1:39" s="49" customFormat="1" ht="31.5" customHeight="1">
      <c r="A24" s="69" t="s">
        <v>231</v>
      </c>
      <c r="B24" s="69" t="s">
        <v>360</v>
      </c>
      <c r="C24" s="70" t="s">
        <v>432</v>
      </c>
      <c r="D24" s="70"/>
      <c r="E24" s="71"/>
      <c r="F24" s="70" t="s">
        <v>1002</v>
      </c>
      <c r="G24" s="70"/>
      <c r="H24" s="73" t="s">
        <v>6</v>
      </c>
      <c r="I24" s="107" t="s">
        <v>7</v>
      </c>
      <c r="J24" s="107" t="s">
        <v>8</v>
      </c>
      <c r="K24" s="107" t="s">
        <v>7</v>
      </c>
      <c r="L24" s="73" t="s">
        <v>449</v>
      </c>
      <c r="M24" s="75" t="s">
        <v>29</v>
      </c>
      <c r="N24" s="75" t="s">
        <v>29</v>
      </c>
      <c r="O24" s="139">
        <v>889.5</v>
      </c>
      <c r="P24" s="74"/>
      <c r="Q24" s="253"/>
      <c r="R24" s="139"/>
      <c r="S24" s="140">
        <v>82.78</v>
      </c>
      <c r="T24" s="140">
        <v>162.97</v>
      </c>
      <c r="U24" s="138">
        <v>643.75</v>
      </c>
      <c r="V24" s="139"/>
      <c r="W24" s="121" t="s">
        <v>13</v>
      </c>
      <c r="X24" s="122" t="s">
        <v>19</v>
      </c>
      <c r="Y24" s="113" t="s">
        <v>249</v>
      </c>
      <c r="Z24" s="295"/>
      <c r="AA24" s="165" t="s">
        <v>1264</v>
      </c>
      <c r="AB24" s="165" t="s">
        <v>1265</v>
      </c>
      <c r="AC24" s="248" t="s">
        <v>10</v>
      </c>
      <c r="AD2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82.78</v>
      </c>
      <c r="AG2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162.97</v>
      </c>
      <c r="AH24"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643.75</v>
      </c>
      <c r="AI24"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4" s="10">
        <f t="shared" si="0"/>
        <v>245.75</v>
      </c>
      <c r="AK24" s="10">
        <f>+SUM(AH24:AI24)</f>
        <v>643.75</v>
      </c>
      <c r="AL24" s="10">
        <f t="shared" si="1"/>
        <v>889.5</v>
      </c>
    </row>
    <row r="25" spans="1:39" s="49" customFormat="1" ht="31.5" customHeight="1">
      <c r="A25" s="69" t="s">
        <v>231</v>
      </c>
      <c r="B25" s="69" t="s">
        <v>360</v>
      </c>
      <c r="C25" s="70" t="s">
        <v>432</v>
      </c>
      <c r="D25" s="70"/>
      <c r="E25" s="71"/>
      <c r="F25" s="70" t="s">
        <v>1008</v>
      </c>
      <c r="G25" s="70"/>
      <c r="H25" s="73" t="s">
        <v>6</v>
      </c>
      <c r="I25" s="107" t="s">
        <v>7</v>
      </c>
      <c r="J25" s="107" t="s">
        <v>8</v>
      </c>
      <c r="K25" s="107" t="s">
        <v>7</v>
      </c>
      <c r="L25" s="73" t="s">
        <v>1054</v>
      </c>
      <c r="M25" s="75" t="s">
        <v>29</v>
      </c>
      <c r="N25" s="75" t="s">
        <v>29</v>
      </c>
      <c r="O25" s="139">
        <v>245.72</v>
      </c>
      <c r="P25" s="74"/>
      <c r="Q25" s="253">
        <v>33.65</v>
      </c>
      <c r="R25" s="139">
        <v>109.09</v>
      </c>
      <c r="S25" s="140">
        <v>45.76</v>
      </c>
      <c r="T25" s="140">
        <v>57.22</v>
      </c>
      <c r="U25" s="138"/>
      <c r="V25" s="139"/>
      <c r="W25" s="121" t="s">
        <v>13</v>
      </c>
      <c r="X25" s="122" t="s">
        <v>19</v>
      </c>
      <c r="Y25" s="113" t="s">
        <v>249</v>
      </c>
      <c r="Z25" s="295"/>
      <c r="AA25" s="165" t="s">
        <v>1264</v>
      </c>
      <c r="AB25" s="165" t="s">
        <v>1209</v>
      </c>
      <c r="AC25" s="248" t="s">
        <v>10</v>
      </c>
      <c r="AD2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33.65</v>
      </c>
      <c r="AE2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109.09</v>
      </c>
      <c r="AF2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45.76</v>
      </c>
      <c r="AG2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57.22</v>
      </c>
      <c r="AH25"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5"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5" s="10">
        <f t="shared" si="0"/>
        <v>245.72</v>
      </c>
      <c r="AK25" s="10">
        <f>+SUM(AH25:AI25)</f>
        <v>0</v>
      </c>
      <c r="AL25" s="10">
        <f t="shared" si="1"/>
        <v>212.07</v>
      </c>
    </row>
    <row r="26" spans="1:39" ht="31.5" customHeight="1">
      <c r="A26" s="21" t="s">
        <v>231</v>
      </c>
      <c r="B26" s="21" t="s">
        <v>360</v>
      </c>
      <c r="C26" s="126" t="s">
        <v>432</v>
      </c>
      <c r="D26" s="79"/>
      <c r="E26" s="27"/>
      <c r="F26" s="126" t="s">
        <v>785</v>
      </c>
      <c r="G26" s="126" t="s">
        <v>786</v>
      </c>
      <c r="H26" s="1" t="s">
        <v>17</v>
      </c>
      <c r="I26" s="108" t="s">
        <v>7</v>
      </c>
      <c r="J26" s="108" t="s">
        <v>8</v>
      </c>
      <c r="K26" s="108" t="s">
        <v>7</v>
      </c>
      <c r="L26" s="97" t="s">
        <v>449</v>
      </c>
      <c r="M26" s="108">
        <v>2014</v>
      </c>
      <c r="N26" s="155">
        <v>2017</v>
      </c>
      <c r="O26" s="142"/>
      <c r="P26" s="127"/>
      <c r="Q26" s="254"/>
      <c r="R26" s="141"/>
      <c r="S26" s="141"/>
      <c r="T26" s="141"/>
      <c r="U26" s="141"/>
      <c r="V26" s="142"/>
      <c r="W26" s="1" t="s">
        <v>1329</v>
      </c>
      <c r="X26" s="108"/>
      <c r="Y26" s="108"/>
      <c r="Z26" s="296" t="s">
        <v>1063</v>
      </c>
      <c r="AA26" s="165" t="s">
        <v>1264</v>
      </c>
      <c r="AB26" s="165" t="s">
        <v>1209</v>
      </c>
      <c r="AC26" s="249"/>
      <c r="AD2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6"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6"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6" s="10">
        <f t="shared" si="0"/>
        <v>0</v>
      </c>
      <c r="AK26" s="10">
        <f t="shared" si="2"/>
        <v>0</v>
      </c>
      <c r="AL26" s="10">
        <f t="shared" si="1"/>
        <v>0</v>
      </c>
      <c r="AM26" s="6"/>
    </row>
    <row r="27" spans="1:39" ht="31.5" customHeight="1">
      <c r="A27" s="21" t="s">
        <v>231</v>
      </c>
      <c r="B27" s="21" t="s">
        <v>360</v>
      </c>
      <c r="C27" s="126" t="s">
        <v>432</v>
      </c>
      <c r="D27" s="79"/>
      <c r="E27" s="27"/>
      <c r="F27" s="126" t="s">
        <v>613</v>
      </c>
      <c r="G27" s="126" t="s">
        <v>614</v>
      </c>
      <c r="H27" s="1" t="s">
        <v>17</v>
      </c>
      <c r="I27" s="108" t="s">
        <v>7</v>
      </c>
      <c r="J27" s="108" t="s">
        <v>8</v>
      </c>
      <c r="K27" s="108" t="s">
        <v>7</v>
      </c>
      <c r="L27" s="97" t="s">
        <v>1054</v>
      </c>
      <c r="M27" s="108">
        <v>2010</v>
      </c>
      <c r="N27" s="155">
        <v>2013</v>
      </c>
      <c r="O27" s="142"/>
      <c r="P27" s="127"/>
      <c r="Q27" s="254"/>
      <c r="R27" s="141"/>
      <c r="S27" s="141"/>
      <c r="T27" s="141"/>
      <c r="U27" s="141"/>
      <c r="V27" s="142"/>
      <c r="W27" s="1" t="s">
        <v>1329</v>
      </c>
      <c r="X27" s="108"/>
      <c r="Y27" s="108"/>
      <c r="Z27" s="315" t="s">
        <v>1347</v>
      </c>
      <c r="AA27" s="165" t="s">
        <v>1264</v>
      </c>
      <c r="AB27" s="165" t="s">
        <v>1209</v>
      </c>
      <c r="AC27" s="249"/>
      <c r="AD2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7"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7"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7" s="10">
        <f t="shared" si="0"/>
        <v>0</v>
      </c>
      <c r="AK27" s="10">
        <f t="shared" si="2"/>
        <v>0</v>
      </c>
      <c r="AL27" s="10">
        <f t="shared" si="1"/>
        <v>0</v>
      </c>
      <c r="AM27" s="6"/>
    </row>
    <row r="28" spans="1:39" ht="31.5" customHeight="1">
      <c r="A28" s="21" t="s">
        <v>231</v>
      </c>
      <c r="B28" s="21" t="s">
        <v>360</v>
      </c>
      <c r="C28" s="126" t="s">
        <v>432</v>
      </c>
      <c r="D28" s="79"/>
      <c r="E28" s="27"/>
      <c r="F28" s="126" t="s">
        <v>619</v>
      </c>
      <c r="G28" s="126" t="s">
        <v>784</v>
      </c>
      <c r="H28" s="1" t="s">
        <v>22</v>
      </c>
      <c r="I28" s="108" t="s">
        <v>7</v>
      </c>
      <c r="J28" s="108" t="s">
        <v>8</v>
      </c>
      <c r="K28" s="108" t="s">
        <v>7</v>
      </c>
      <c r="L28" s="97" t="s">
        <v>449</v>
      </c>
      <c r="M28" s="108">
        <v>2014</v>
      </c>
      <c r="N28" s="155">
        <v>2017</v>
      </c>
      <c r="O28" s="142"/>
      <c r="P28" s="127"/>
      <c r="Q28" s="254"/>
      <c r="R28" s="141"/>
      <c r="S28" s="141"/>
      <c r="T28" s="141"/>
      <c r="U28" s="141"/>
      <c r="V28" s="142"/>
      <c r="W28" s="1" t="s">
        <v>1329</v>
      </c>
      <c r="X28" s="108"/>
      <c r="Y28" s="108"/>
      <c r="Z28" s="296" t="s">
        <v>1063</v>
      </c>
      <c r="AA28" s="165" t="s">
        <v>1264</v>
      </c>
      <c r="AB28" s="165" t="s">
        <v>1209</v>
      </c>
      <c r="AC28" s="249"/>
      <c r="AD2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8"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8"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8" s="10">
        <f t="shared" si="0"/>
        <v>0</v>
      </c>
      <c r="AK28" s="10">
        <f t="shared" si="2"/>
        <v>0</v>
      </c>
      <c r="AL28" s="10">
        <f t="shared" si="1"/>
        <v>0</v>
      </c>
      <c r="AM28" s="6"/>
    </row>
    <row r="29" spans="1:39" ht="31.5" customHeight="1">
      <c r="A29" s="21" t="s">
        <v>231</v>
      </c>
      <c r="B29" s="21" t="s">
        <v>360</v>
      </c>
      <c r="C29" s="126" t="s">
        <v>432</v>
      </c>
      <c r="D29" s="79"/>
      <c r="E29" s="27"/>
      <c r="F29" s="126" t="s">
        <v>615</v>
      </c>
      <c r="G29" s="126" t="s">
        <v>616</v>
      </c>
      <c r="H29" s="1" t="s">
        <v>22</v>
      </c>
      <c r="I29" s="108" t="s">
        <v>7</v>
      </c>
      <c r="J29" s="108" t="s">
        <v>8</v>
      </c>
      <c r="K29" s="108" t="s">
        <v>7</v>
      </c>
      <c r="L29" s="97" t="s">
        <v>449</v>
      </c>
      <c r="M29" s="108">
        <v>2013</v>
      </c>
      <c r="N29" s="155">
        <v>2016</v>
      </c>
      <c r="O29" s="142"/>
      <c r="P29" s="127"/>
      <c r="Q29" s="254"/>
      <c r="R29" s="141"/>
      <c r="S29" s="141"/>
      <c r="T29" s="141"/>
      <c r="U29" s="141"/>
      <c r="V29" s="142"/>
      <c r="W29" s="1" t="s">
        <v>1329</v>
      </c>
      <c r="X29" s="108"/>
      <c r="Y29" s="108"/>
      <c r="Z29" s="296" t="s">
        <v>1087</v>
      </c>
      <c r="AA29" s="165" t="s">
        <v>1264</v>
      </c>
      <c r="AB29" s="165" t="s">
        <v>1209</v>
      </c>
      <c r="AC29" s="249"/>
      <c r="AD2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9"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9"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9" s="10">
        <f t="shared" si="0"/>
        <v>0</v>
      </c>
      <c r="AK29" s="10">
        <f t="shared" si="2"/>
        <v>0</v>
      </c>
      <c r="AL29" s="10">
        <f t="shared" si="1"/>
        <v>0</v>
      </c>
      <c r="AM29" s="6"/>
    </row>
    <row r="30" spans="1:39" ht="31.5" customHeight="1">
      <c r="A30" s="6" t="s">
        <v>231</v>
      </c>
      <c r="B30" s="6" t="s">
        <v>360</v>
      </c>
      <c r="C30" s="129" t="s">
        <v>432</v>
      </c>
      <c r="D30" s="79"/>
      <c r="E30" s="27"/>
      <c r="F30" s="129" t="s">
        <v>1050</v>
      </c>
      <c r="G30" s="129" t="s">
        <v>1052</v>
      </c>
      <c r="H30" s="1" t="s">
        <v>16</v>
      </c>
      <c r="I30" s="1" t="s">
        <v>7</v>
      </c>
      <c r="J30" s="1" t="s">
        <v>8</v>
      </c>
      <c r="K30" s="1" t="s">
        <v>7</v>
      </c>
      <c r="L30" s="98" t="s">
        <v>449</v>
      </c>
      <c r="M30" s="1">
        <v>2014</v>
      </c>
      <c r="N30" s="156">
        <v>2017</v>
      </c>
      <c r="O30" s="142"/>
      <c r="P30" s="9"/>
      <c r="Q30" s="254"/>
      <c r="R30" s="142"/>
      <c r="S30" s="142"/>
      <c r="T30" s="142"/>
      <c r="U30" s="142"/>
      <c r="V30" s="142"/>
      <c r="W30" s="1" t="s">
        <v>1329</v>
      </c>
      <c r="X30" s="1"/>
      <c r="Y30" s="1"/>
      <c r="Z30" s="296" t="s">
        <v>1087</v>
      </c>
      <c r="AA30" s="165" t="s">
        <v>1264</v>
      </c>
      <c r="AB30" s="165" t="s">
        <v>1209</v>
      </c>
      <c r="AC30" s="249"/>
      <c r="AD3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3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3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3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30"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30"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0" s="10">
        <f t="shared" si="0"/>
        <v>0</v>
      </c>
      <c r="AK30" s="10">
        <f t="shared" ref="AK30:AK31" si="5">+SUM(AH30:AI30)</f>
        <v>0</v>
      </c>
      <c r="AL30" s="10">
        <f t="shared" si="1"/>
        <v>0</v>
      </c>
      <c r="AM30" s="6"/>
    </row>
    <row r="31" spans="1:39" ht="31.5" customHeight="1">
      <c r="A31" s="6" t="s">
        <v>231</v>
      </c>
      <c r="B31" s="6" t="s">
        <v>360</v>
      </c>
      <c r="C31" s="129" t="s">
        <v>432</v>
      </c>
      <c r="D31" s="79"/>
      <c r="E31" s="27"/>
      <c r="F31" s="129" t="s">
        <v>1051</v>
      </c>
      <c r="G31" s="129" t="s">
        <v>1053</v>
      </c>
      <c r="H31" s="1" t="s">
        <v>14</v>
      </c>
      <c r="I31" s="1" t="s">
        <v>7</v>
      </c>
      <c r="J31" s="1" t="s">
        <v>8</v>
      </c>
      <c r="K31" s="1" t="s">
        <v>7</v>
      </c>
      <c r="L31" s="98" t="s">
        <v>1054</v>
      </c>
      <c r="M31" s="1">
        <v>2012</v>
      </c>
      <c r="N31" s="156">
        <v>2015</v>
      </c>
      <c r="O31" s="142"/>
      <c r="P31" s="9"/>
      <c r="Q31" s="254"/>
      <c r="R31" s="142"/>
      <c r="S31" s="142"/>
      <c r="T31" s="142"/>
      <c r="U31" s="142"/>
      <c r="V31" s="142"/>
      <c r="W31" s="1" t="s">
        <v>1329</v>
      </c>
      <c r="X31" s="1"/>
      <c r="Y31" s="1"/>
      <c r="Z31" s="296" t="s">
        <v>1063</v>
      </c>
      <c r="AA31" s="165" t="s">
        <v>1264</v>
      </c>
      <c r="AB31" s="165" t="s">
        <v>1209</v>
      </c>
      <c r="AC31" s="249"/>
      <c r="AD3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3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3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3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31"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31"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1" s="10">
        <f t="shared" si="0"/>
        <v>0</v>
      </c>
      <c r="AK31" s="10">
        <f t="shared" si="5"/>
        <v>0</v>
      </c>
      <c r="AL31" s="10">
        <f t="shared" si="1"/>
        <v>0</v>
      </c>
      <c r="AM31" s="6"/>
    </row>
    <row r="32" spans="1:39" ht="31.5" customHeight="1">
      <c r="A32" s="6" t="s">
        <v>231</v>
      </c>
      <c r="B32" s="6" t="s">
        <v>360</v>
      </c>
      <c r="C32" s="129" t="s">
        <v>432</v>
      </c>
      <c r="D32" s="79"/>
      <c r="E32" s="27"/>
      <c r="F32" s="129" t="s">
        <v>1109</v>
      </c>
      <c r="G32" s="129" t="s">
        <v>1109</v>
      </c>
      <c r="H32" s="1" t="s">
        <v>26</v>
      </c>
      <c r="I32" s="1" t="s">
        <v>7</v>
      </c>
      <c r="J32" s="1" t="s">
        <v>8</v>
      </c>
      <c r="K32" s="1" t="s">
        <v>7</v>
      </c>
      <c r="L32" s="98" t="s">
        <v>449</v>
      </c>
      <c r="M32" s="1">
        <v>2014</v>
      </c>
      <c r="N32" s="156">
        <v>2017</v>
      </c>
      <c r="O32" s="142"/>
      <c r="P32" s="9"/>
      <c r="Q32" s="254"/>
      <c r="R32" s="142"/>
      <c r="S32" s="142"/>
      <c r="T32" s="142"/>
      <c r="U32" s="142"/>
      <c r="V32" s="142"/>
      <c r="W32" s="1" t="s">
        <v>1329</v>
      </c>
      <c r="X32" s="1"/>
      <c r="Y32" s="1"/>
      <c r="Z32" s="296" t="s">
        <v>1063</v>
      </c>
      <c r="AA32" s="165" t="s">
        <v>1264</v>
      </c>
      <c r="AB32" s="165" t="s">
        <v>1209</v>
      </c>
      <c r="AC32" s="249"/>
      <c r="AD3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3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3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3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32"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32"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2" s="10">
        <f t="shared" si="0"/>
        <v>0</v>
      </c>
      <c r="AK32" s="10">
        <f t="shared" ref="AK32" si="6">+SUM(AH32:AI32)</f>
        <v>0</v>
      </c>
      <c r="AL32" s="10">
        <f t="shared" si="1"/>
        <v>0</v>
      </c>
      <c r="AM32" s="6"/>
    </row>
    <row r="33" spans="1:39" ht="31.5" customHeight="1">
      <c r="A33" s="6" t="s">
        <v>231</v>
      </c>
      <c r="B33" s="6" t="s">
        <v>360</v>
      </c>
      <c r="C33" s="129" t="s">
        <v>432</v>
      </c>
      <c r="D33" s="79"/>
      <c r="E33" s="27"/>
      <c r="F33" s="243" t="s">
        <v>1232</v>
      </c>
      <c r="G33" s="243" t="s">
        <v>1232</v>
      </c>
      <c r="H33" s="1" t="s">
        <v>23</v>
      </c>
      <c r="I33" s="1" t="s">
        <v>7</v>
      </c>
      <c r="J33" s="1" t="s">
        <v>8</v>
      </c>
      <c r="K33" s="1" t="s">
        <v>7</v>
      </c>
      <c r="L33" s="98" t="s">
        <v>449</v>
      </c>
      <c r="M33" s="1">
        <v>2017</v>
      </c>
      <c r="N33" s="156">
        <v>2020</v>
      </c>
      <c r="O33" s="142"/>
      <c r="P33" s="9"/>
      <c r="Q33" s="254"/>
      <c r="R33" s="142"/>
      <c r="S33" s="142"/>
      <c r="T33" s="142"/>
      <c r="U33" s="142"/>
      <c r="V33" s="142"/>
      <c r="W33" s="1" t="s">
        <v>1329</v>
      </c>
      <c r="X33" s="1"/>
      <c r="Y33" s="1"/>
      <c r="Z33" s="296" t="s">
        <v>1063</v>
      </c>
      <c r="AA33" s="165" t="s">
        <v>1264</v>
      </c>
      <c r="AB33" s="165" t="s">
        <v>1209</v>
      </c>
      <c r="AC33" s="249"/>
      <c r="AD3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3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3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3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33"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33"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3" s="10">
        <f t="shared" si="0"/>
        <v>0</v>
      </c>
      <c r="AK33" s="10">
        <f t="shared" ref="AK33:AK37" si="7">+SUM(AH33:AI33)</f>
        <v>0</v>
      </c>
      <c r="AL33" s="10">
        <f t="shared" si="1"/>
        <v>0</v>
      </c>
      <c r="AM33" s="6"/>
    </row>
    <row r="34" spans="1:39" ht="31.5" customHeight="1">
      <c r="A34" s="6" t="s">
        <v>231</v>
      </c>
      <c r="B34" s="6" t="s">
        <v>360</v>
      </c>
      <c r="C34" s="129" t="s">
        <v>432</v>
      </c>
      <c r="D34" s="79"/>
      <c r="E34" s="27"/>
      <c r="F34" s="243" t="s">
        <v>1233</v>
      </c>
      <c r="G34" s="243" t="s">
        <v>1233</v>
      </c>
      <c r="H34" s="1" t="s">
        <v>14</v>
      </c>
      <c r="I34" s="1" t="s">
        <v>7</v>
      </c>
      <c r="J34" s="1" t="s">
        <v>8</v>
      </c>
      <c r="K34" s="1" t="s">
        <v>7</v>
      </c>
      <c r="L34" s="98" t="s">
        <v>449</v>
      </c>
      <c r="M34" s="1">
        <v>2017</v>
      </c>
      <c r="N34" s="156">
        <v>2020</v>
      </c>
      <c r="O34" s="142"/>
      <c r="P34" s="9"/>
      <c r="Q34" s="254"/>
      <c r="R34" s="142"/>
      <c r="S34" s="142"/>
      <c r="T34" s="142"/>
      <c r="U34" s="142"/>
      <c r="V34" s="142"/>
      <c r="W34" s="1" t="s">
        <v>1329</v>
      </c>
      <c r="X34" s="1"/>
      <c r="Y34" s="1"/>
      <c r="Z34" s="296" t="s">
        <v>1063</v>
      </c>
      <c r="AA34" s="165" t="s">
        <v>1264</v>
      </c>
      <c r="AB34" s="165" t="s">
        <v>1209</v>
      </c>
      <c r="AC34" s="249"/>
      <c r="AD3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3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3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3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34"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34"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4" s="10">
        <f t="shared" si="0"/>
        <v>0</v>
      </c>
      <c r="AK34" s="10">
        <f t="shared" si="7"/>
        <v>0</v>
      </c>
      <c r="AL34" s="10">
        <f t="shared" si="1"/>
        <v>0</v>
      </c>
      <c r="AM34" s="6"/>
    </row>
    <row r="35" spans="1:39" ht="31.5" customHeight="1">
      <c r="A35" s="6" t="s">
        <v>231</v>
      </c>
      <c r="B35" s="6" t="s">
        <v>360</v>
      </c>
      <c r="C35" s="129" t="s">
        <v>432</v>
      </c>
      <c r="D35" s="79"/>
      <c r="E35" s="27"/>
      <c r="F35" s="243" t="s">
        <v>1234</v>
      </c>
      <c r="G35" s="243" t="s">
        <v>1234</v>
      </c>
      <c r="H35" s="1" t="s">
        <v>14</v>
      </c>
      <c r="I35" s="1" t="s">
        <v>7</v>
      </c>
      <c r="J35" s="1" t="s">
        <v>8</v>
      </c>
      <c r="K35" s="1" t="s">
        <v>7</v>
      </c>
      <c r="L35" s="98" t="s">
        <v>449</v>
      </c>
      <c r="M35" s="1">
        <v>2017</v>
      </c>
      <c r="N35" s="156">
        <v>2020</v>
      </c>
      <c r="O35" s="142"/>
      <c r="P35" s="9"/>
      <c r="Q35" s="254"/>
      <c r="R35" s="142"/>
      <c r="S35" s="142"/>
      <c r="T35" s="142"/>
      <c r="U35" s="142"/>
      <c r="V35" s="142"/>
      <c r="W35" s="1" t="s">
        <v>1329</v>
      </c>
      <c r="X35" s="1"/>
      <c r="Y35" s="1"/>
      <c r="Z35" s="296" t="s">
        <v>1063</v>
      </c>
      <c r="AA35" s="165" t="s">
        <v>1264</v>
      </c>
      <c r="AB35" s="165" t="s">
        <v>1209</v>
      </c>
      <c r="AC35" s="249"/>
      <c r="AD3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3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3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3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35"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35"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5" s="10">
        <f t="shared" si="0"/>
        <v>0</v>
      </c>
      <c r="AK35" s="10">
        <f t="shared" si="7"/>
        <v>0</v>
      </c>
      <c r="AL35" s="10">
        <f t="shared" si="1"/>
        <v>0</v>
      </c>
      <c r="AM35" s="6"/>
    </row>
    <row r="36" spans="1:39" ht="31.5" customHeight="1">
      <c r="A36" s="6" t="s">
        <v>231</v>
      </c>
      <c r="B36" s="6" t="s">
        <v>360</v>
      </c>
      <c r="C36" s="129" t="s">
        <v>432</v>
      </c>
      <c r="D36" s="79"/>
      <c r="E36" s="27"/>
      <c r="F36" s="243" t="s">
        <v>1235</v>
      </c>
      <c r="G36" s="243" t="s">
        <v>1235</v>
      </c>
      <c r="H36" s="1" t="s">
        <v>26</v>
      </c>
      <c r="I36" s="1" t="s">
        <v>7</v>
      </c>
      <c r="J36" s="1" t="s">
        <v>8</v>
      </c>
      <c r="K36" s="1" t="s">
        <v>7</v>
      </c>
      <c r="L36" s="98" t="s">
        <v>449</v>
      </c>
      <c r="M36" s="1">
        <v>2017</v>
      </c>
      <c r="N36" s="156">
        <v>2020</v>
      </c>
      <c r="O36" s="142"/>
      <c r="P36" s="9"/>
      <c r="Q36" s="254"/>
      <c r="R36" s="142"/>
      <c r="S36" s="142"/>
      <c r="T36" s="142"/>
      <c r="U36" s="142"/>
      <c r="V36" s="142"/>
      <c r="W36" s="1" t="s">
        <v>1329</v>
      </c>
      <c r="X36" s="1"/>
      <c r="Y36" s="1"/>
      <c r="Z36" s="296" t="s">
        <v>1063</v>
      </c>
      <c r="AA36" s="165" t="s">
        <v>1264</v>
      </c>
      <c r="AB36" s="165" t="s">
        <v>1209</v>
      </c>
      <c r="AC36" s="249"/>
      <c r="AD3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3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3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3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36"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36"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6" s="10">
        <f t="shared" si="0"/>
        <v>0</v>
      </c>
      <c r="AK36" s="10">
        <f t="shared" si="7"/>
        <v>0</v>
      </c>
      <c r="AL36" s="10">
        <f t="shared" si="1"/>
        <v>0</v>
      </c>
      <c r="AM36" s="6"/>
    </row>
    <row r="37" spans="1:39" ht="31.5" customHeight="1">
      <c r="A37" s="6" t="s">
        <v>231</v>
      </c>
      <c r="B37" s="6" t="s">
        <v>360</v>
      </c>
      <c r="C37" s="129" t="s">
        <v>432</v>
      </c>
      <c r="D37" s="79"/>
      <c r="E37" s="27"/>
      <c r="F37" s="243" t="s">
        <v>1236</v>
      </c>
      <c r="G37" s="243" t="s">
        <v>1236</v>
      </c>
      <c r="H37" s="1" t="s">
        <v>16</v>
      </c>
      <c r="I37" s="1" t="s">
        <v>7</v>
      </c>
      <c r="J37" s="1" t="s">
        <v>8</v>
      </c>
      <c r="K37" s="1" t="s">
        <v>7</v>
      </c>
      <c r="L37" s="98" t="s">
        <v>449</v>
      </c>
      <c r="M37" s="1">
        <v>2017</v>
      </c>
      <c r="N37" s="156">
        <v>2020</v>
      </c>
      <c r="O37" s="142"/>
      <c r="P37" s="9"/>
      <c r="Q37" s="254"/>
      <c r="R37" s="142"/>
      <c r="S37" s="142"/>
      <c r="T37" s="142"/>
      <c r="U37" s="142"/>
      <c r="V37" s="142"/>
      <c r="W37" s="1" t="s">
        <v>1329</v>
      </c>
      <c r="X37" s="1"/>
      <c r="Y37" s="1"/>
      <c r="Z37" s="296" t="s">
        <v>1063</v>
      </c>
      <c r="AA37" s="165" t="s">
        <v>1264</v>
      </c>
      <c r="AB37" s="165" t="s">
        <v>1209</v>
      </c>
      <c r="AC37" s="249"/>
      <c r="AD3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3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3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3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37"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37"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7" s="10">
        <f t="shared" si="0"/>
        <v>0</v>
      </c>
      <c r="AK37" s="10">
        <f t="shared" si="7"/>
        <v>0</v>
      </c>
      <c r="AL37" s="10">
        <f t="shared" si="1"/>
        <v>0</v>
      </c>
      <c r="AM37" s="6"/>
    </row>
    <row r="38" spans="1:39" s="49" customFormat="1" ht="31.5" customHeight="1">
      <c r="A38" s="69" t="s">
        <v>231</v>
      </c>
      <c r="B38" s="69" t="s">
        <v>360</v>
      </c>
      <c r="C38" s="70" t="s">
        <v>440</v>
      </c>
      <c r="D38" s="80"/>
      <c r="E38" s="71"/>
      <c r="F38" s="70" t="s">
        <v>1008</v>
      </c>
      <c r="G38" s="70"/>
      <c r="H38" s="73" t="s">
        <v>14</v>
      </c>
      <c r="I38" s="107" t="s">
        <v>7</v>
      </c>
      <c r="J38" s="107" t="s">
        <v>8</v>
      </c>
      <c r="K38" s="107" t="s">
        <v>7</v>
      </c>
      <c r="L38" s="73" t="s">
        <v>1054</v>
      </c>
      <c r="M38" s="75" t="s">
        <v>29</v>
      </c>
      <c r="N38" s="75" t="s">
        <v>29</v>
      </c>
      <c r="O38" s="139">
        <v>350</v>
      </c>
      <c r="P38" s="74"/>
      <c r="Q38" s="253"/>
      <c r="R38" s="139"/>
      <c r="S38" s="140">
        <v>105</v>
      </c>
      <c r="T38" s="143">
        <v>140</v>
      </c>
      <c r="U38" s="139">
        <v>105</v>
      </c>
      <c r="V38" s="157"/>
      <c r="W38" s="52" t="s">
        <v>1329</v>
      </c>
      <c r="X38" s="122" t="s">
        <v>19</v>
      </c>
      <c r="Y38" s="113" t="s">
        <v>249</v>
      </c>
      <c r="Z38" s="297"/>
      <c r="AA38" s="165" t="s">
        <v>1266</v>
      </c>
      <c r="AB38" s="165" t="s">
        <v>1209</v>
      </c>
      <c r="AC38" s="117" t="s">
        <v>10</v>
      </c>
      <c r="AD3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3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3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105</v>
      </c>
      <c r="AG3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140</v>
      </c>
      <c r="AH38"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105</v>
      </c>
      <c r="AI38"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8" s="10">
        <f t="shared" si="0"/>
        <v>245</v>
      </c>
      <c r="AK38" s="10">
        <f>+SUM(AH38:AI38)</f>
        <v>105</v>
      </c>
      <c r="AL38" s="10">
        <f t="shared" si="1"/>
        <v>350</v>
      </c>
    </row>
    <row r="39" spans="1:39" ht="31.5" customHeight="1">
      <c r="A39" s="21" t="s">
        <v>231</v>
      </c>
      <c r="B39" s="21" t="s">
        <v>360</v>
      </c>
      <c r="C39" s="126" t="s">
        <v>440</v>
      </c>
      <c r="D39" s="79"/>
      <c r="E39" s="27"/>
      <c r="F39" s="126" t="s">
        <v>617</v>
      </c>
      <c r="G39" s="126" t="s">
        <v>618</v>
      </c>
      <c r="H39" s="1" t="s">
        <v>14</v>
      </c>
      <c r="I39" s="108" t="s">
        <v>7</v>
      </c>
      <c r="J39" s="108" t="s">
        <v>8</v>
      </c>
      <c r="K39" s="108" t="s">
        <v>7</v>
      </c>
      <c r="L39" s="97" t="s">
        <v>1054</v>
      </c>
      <c r="M39" s="108">
        <v>2013</v>
      </c>
      <c r="N39" s="155">
        <v>2016</v>
      </c>
      <c r="O39" s="142"/>
      <c r="P39" s="127"/>
      <c r="Q39" s="254"/>
      <c r="R39" s="141"/>
      <c r="S39" s="141"/>
      <c r="T39" s="141"/>
      <c r="U39" s="142"/>
      <c r="V39" s="142"/>
      <c r="W39" s="1" t="s">
        <v>1329</v>
      </c>
      <c r="X39" s="108"/>
      <c r="Y39" s="108"/>
      <c r="Z39" s="296" t="s">
        <v>1063</v>
      </c>
      <c r="AA39" s="165" t="s">
        <v>1266</v>
      </c>
      <c r="AB39" s="165" t="s">
        <v>1209</v>
      </c>
      <c r="AC39" s="117"/>
      <c r="AD3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3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3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3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39"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39"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9" s="10">
        <f t="shared" si="0"/>
        <v>0</v>
      </c>
      <c r="AK39" s="10">
        <f>+SUM(AH39:AI39)</f>
        <v>0</v>
      </c>
      <c r="AL39" s="10">
        <f t="shared" si="1"/>
        <v>0</v>
      </c>
      <c r="AM39" s="6"/>
    </row>
    <row r="40" spans="1:39" s="49" customFormat="1" ht="31.5" customHeight="1">
      <c r="A40" s="69" t="s">
        <v>231</v>
      </c>
      <c r="B40" s="69" t="s">
        <v>360</v>
      </c>
      <c r="C40" s="70" t="s">
        <v>433</v>
      </c>
      <c r="D40" s="130"/>
      <c r="E40" s="71"/>
      <c r="F40" s="70" t="s">
        <v>1001</v>
      </c>
      <c r="G40" s="70"/>
      <c r="H40" s="73" t="s">
        <v>6</v>
      </c>
      <c r="I40" s="107" t="s">
        <v>7</v>
      </c>
      <c r="J40" s="107" t="s">
        <v>8</v>
      </c>
      <c r="K40" s="107" t="s">
        <v>7</v>
      </c>
      <c r="L40" s="73" t="s">
        <v>444</v>
      </c>
      <c r="M40" s="75" t="s">
        <v>29</v>
      </c>
      <c r="N40" s="75" t="s">
        <v>29</v>
      </c>
      <c r="O40" s="139">
        <v>491.5</v>
      </c>
      <c r="P40" s="74"/>
      <c r="Q40" s="253"/>
      <c r="R40" s="139"/>
      <c r="S40" s="140">
        <v>23.55</v>
      </c>
      <c r="T40" s="143">
        <v>81.239999999999995</v>
      </c>
      <c r="U40" s="139">
        <v>343.24</v>
      </c>
      <c r="V40" s="157">
        <v>43.12</v>
      </c>
      <c r="W40" s="52" t="s">
        <v>1329</v>
      </c>
      <c r="X40" s="122" t="s">
        <v>19</v>
      </c>
      <c r="Y40" s="113" t="s">
        <v>249</v>
      </c>
      <c r="Z40" s="297"/>
      <c r="AA40" s="165" t="s">
        <v>1266</v>
      </c>
      <c r="AB40" s="165" t="s">
        <v>1209</v>
      </c>
      <c r="AC40" s="117" t="s">
        <v>10</v>
      </c>
      <c r="AD4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4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4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23.55</v>
      </c>
      <c r="AG4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81.239999999999995</v>
      </c>
      <c r="AH40"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343.24</v>
      </c>
      <c r="AI40"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43.12</v>
      </c>
      <c r="AJ40" s="10">
        <f t="shared" si="0"/>
        <v>104.78999999999999</v>
      </c>
      <c r="AK40" s="10">
        <f t="shared" si="2"/>
        <v>386.36</v>
      </c>
      <c r="AL40" s="10">
        <f t="shared" si="1"/>
        <v>491.15</v>
      </c>
    </row>
    <row r="41" spans="1:39" s="49" customFormat="1" ht="31.5" customHeight="1">
      <c r="A41" s="69" t="s">
        <v>231</v>
      </c>
      <c r="B41" s="69" t="s">
        <v>360</v>
      </c>
      <c r="C41" s="70" t="s">
        <v>433</v>
      </c>
      <c r="D41" s="130"/>
      <c r="E41" s="71"/>
      <c r="F41" s="70" t="s">
        <v>1003</v>
      </c>
      <c r="G41" s="70"/>
      <c r="H41" s="73" t="s">
        <v>6</v>
      </c>
      <c r="I41" s="107" t="s">
        <v>7</v>
      </c>
      <c r="J41" s="107" t="s">
        <v>8</v>
      </c>
      <c r="K41" s="107" t="s">
        <v>7</v>
      </c>
      <c r="L41" s="73" t="s">
        <v>1032</v>
      </c>
      <c r="M41" s="75" t="s">
        <v>29</v>
      </c>
      <c r="N41" s="75" t="s">
        <v>29</v>
      </c>
      <c r="O41" s="139">
        <v>1031</v>
      </c>
      <c r="P41" s="74"/>
      <c r="Q41" s="253"/>
      <c r="R41" s="139"/>
      <c r="S41" s="140">
        <v>103.59</v>
      </c>
      <c r="T41" s="143">
        <v>176.85</v>
      </c>
      <c r="U41" s="139">
        <v>750.53</v>
      </c>
      <c r="V41" s="157"/>
      <c r="W41" s="52" t="s">
        <v>1329</v>
      </c>
      <c r="X41" s="122" t="s">
        <v>19</v>
      </c>
      <c r="Y41" s="113" t="s">
        <v>249</v>
      </c>
      <c r="Z41" s="297"/>
      <c r="AA41" s="165" t="s">
        <v>1266</v>
      </c>
      <c r="AB41" s="165" t="s">
        <v>1209</v>
      </c>
      <c r="AC41" s="117" t="s">
        <v>10</v>
      </c>
      <c r="AD4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4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4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103.59</v>
      </c>
      <c r="AG4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176.85</v>
      </c>
      <c r="AH41"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750.53</v>
      </c>
      <c r="AI41"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1" s="10">
        <f t="shared" si="0"/>
        <v>280.44</v>
      </c>
      <c r="AK41" s="10">
        <f>+SUM(AH41:AI41)</f>
        <v>750.53</v>
      </c>
      <c r="AL41" s="10">
        <f t="shared" si="1"/>
        <v>1030.97</v>
      </c>
    </row>
    <row r="42" spans="1:39" s="49" customFormat="1" ht="31.5" customHeight="1">
      <c r="A42" s="69" t="s">
        <v>231</v>
      </c>
      <c r="B42" s="69" t="s">
        <v>360</v>
      </c>
      <c r="C42" s="70" t="s">
        <v>433</v>
      </c>
      <c r="D42" s="130"/>
      <c r="E42" s="71"/>
      <c r="F42" s="70" t="s">
        <v>1002</v>
      </c>
      <c r="G42" s="70"/>
      <c r="H42" s="73" t="s">
        <v>6</v>
      </c>
      <c r="I42" s="107" t="s">
        <v>7</v>
      </c>
      <c r="J42" s="107" t="s">
        <v>8</v>
      </c>
      <c r="K42" s="107" t="s">
        <v>7</v>
      </c>
      <c r="L42" s="73" t="s">
        <v>449</v>
      </c>
      <c r="M42" s="75" t="s">
        <v>29</v>
      </c>
      <c r="N42" s="75" t="s">
        <v>29</v>
      </c>
      <c r="O42" s="139">
        <v>2708</v>
      </c>
      <c r="P42" s="74"/>
      <c r="Q42" s="253"/>
      <c r="R42" s="139">
        <v>33.89</v>
      </c>
      <c r="S42" s="140">
        <v>335.28</v>
      </c>
      <c r="T42" s="143">
        <v>715.7</v>
      </c>
      <c r="U42" s="139">
        <v>1622.8</v>
      </c>
      <c r="V42" s="157"/>
      <c r="W42" s="52" t="s">
        <v>1329</v>
      </c>
      <c r="X42" s="122" t="s">
        <v>19</v>
      </c>
      <c r="Y42" s="113" t="s">
        <v>249</v>
      </c>
      <c r="Z42" s="297"/>
      <c r="AA42" s="165" t="s">
        <v>1266</v>
      </c>
      <c r="AB42" s="165" t="s">
        <v>1209</v>
      </c>
      <c r="AC42" s="117" t="s">
        <v>10</v>
      </c>
      <c r="AD4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4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33.89</v>
      </c>
      <c r="AF4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335.28</v>
      </c>
      <c r="AG4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715.7</v>
      </c>
      <c r="AH42"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1622.8</v>
      </c>
      <c r="AI42"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2" s="10">
        <f t="shared" si="0"/>
        <v>1084.8699999999999</v>
      </c>
      <c r="AK42" s="10">
        <f>+SUM(AH42:AI42)</f>
        <v>1622.8</v>
      </c>
      <c r="AL42" s="10">
        <f t="shared" si="1"/>
        <v>2707.67</v>
      </c>
    </row>
    <row r="43" spans="1:39" s="49" customFormat="1" ht="31.5" customHeight="1">
      <c r="A43" s="69" t="s">
        <v>231</v>
      </c>
      <c r="B43" s="69" t="s">
        <v>360</v>
      </c>
      <c r="C43" s="70" t="s">
        <v>433</v>
      </c>
      <c r="D43" s="130"/>
      <c r="E43" s="71"/>
      <c r="F43" s="70" t="s">
        <v>1008</v>
      </c>
      <c r="G43" s="70"/>
      <c r="H43" s="73" t="s">
        <v>6</v>
      </c>
      <c r="I43" s="107" t="s">
        <v>7</v>
      </c>
      <c r="J43" s="107" t="s">
        <v>8</v>
      </c>
      <c r="K43" s="107" t="s">
        <v>7</v>
      </c>
      <c r="L43" s="73" t="s">
        <v>1054</v>
      </c>
      <c r="M43" s="75" t="s">
        <v>29</v>
      </c>
      <c r="N43" s="75" t="s">
        <v>29</v>
      </c>
      <c r="O43" s="139">
        <v>528.75</v>
      </c>
      <c r="P43" s="74"/>
      <c r="Q43" s="253"/>
      <c r="R43" s="139">
        <v>211.5</v>
      </c>
      <c r="S43" s="140">
        <v>211.5</v>
      </c>
      <c r="T43" s="143">
        <v>105.75</v>
      </c>
      <c r="U43" s="139"/>
      <c r="V43" s="157"/>
      <c r="W43" s="52" t="s">
        <v>1329</v>
      </c>
      <c r="X43" s="122" t="s">
        <v>19</v>
      </c>
      <c r="Y43" s="113" t="s">
        <v>249</v>
      </c>
      <c r="Z43" s="297"/>
      <c r="AA43" s="165" t="s">
        <v>1266</v>
      </c>
      <c r="AB43" s="165" t="s">
        <v>1209</v>
      </c>
      <c r="AC43" s="117" t="s">
        <v>10</v>
      </c>
      <c r="AD4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4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211.5</v>
      </c>
      <c r="AF4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211.5</v>
      </c>
      <c r="AG4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105.75</v>
      </c>
      <c r="AH43"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43"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3" s="10">
        <f t="shared" si="0"/>
        <v>528.75</v>
      </c>
      <c r="AK43" s="10">
        <f>+SUM(AH43:AI43)</f>
        <v>0</v>
      </c>
      <c r="AL43" s="10">
        <f t="shared" si="1"/>
        <v>528.75</v>
      </c>
    </row>
    <row r="44" spans="1:39" ht="31.5" customHeight="1">
      <c r="A44" s="21" t="s">
        <v>231</v>
      </c>
      <c r="B44" s="21" t="s">
        <v>360</v>
      </c>
      <c r="C44" s="126" t="s">
        <v>433</v>
      </c>
      <c r="D44" s="129"/>
      <c r="E44" s="27"/>
      <c r="F44" s="126" t="s">
        <v>576</v>
      </c>
      <c r="G44" s="126" t="s">
        <v>577</v>
      </c>
      <c r="H44" s="1" t="s">
        <v>23</v>
      </c>
      <c r="I44" s="108" t="s">
        <v>7</v>
      </c>
      <c r="J44" s="108" t="s">
        <v>8</v>
      </c>
      <c r="K44" s="108" t="s">
        <v>7</v>
      </c>
      <c r="L44" s="97" t="s">
        <v>449</v>
      </c>
      <c r="M44" s="153">
        <v>2013</v>
      </c>
      <c r="N44" s="86">
        <v>2016</v>
      </c>
      <c r="O44" s="142"/>
      <c r="P44" s="127"/>
      <c r="Q44" s="254"/>
      <c r="R44" s="141"/>
      <c r="S44" s="141"/>
      <c r="T44" s="141"/>
      <c r="U44" s="142"/>
      <c r="V44" s="142"/>
      <c r="W44" s="1" t="s">
        <v>1329</v>
      </c>
      <c r="X44" s="108"/>
      <c r="Y44" s="108"/>
      <c r="Z44" s="296" t="s">
        <v>1087</v>
      </c>
      <c r="AA44" s="165" t="s">
        <v>1266</v>
      </c>
      <c r="AB44" s="165" t="s">
        <v>1209</v>
      </c>
      <c r="AC44" s="117"/>
      <c r="AD4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4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4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4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44"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44"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4" s="10">
        <f t="shared" si="0"/>
        <v>0</v>
      </c>
      <c r="AK44" s="10">
        <f t="shared" si="2"/>
        <v>0</v>
      </c>
      <c r="AL44" s="10">
        <f t="shared" si="1"/>
        <v>0</v>
      </c>
      <c r="AM44" s="6"/>
    </row>
    <row r="45" spans="1:39" ht="31.5" customHeight="1">
      <c r="A45" s="21" t="s">
        <v>231</v>
      </c>
      <c r="B45" s="21" t="s">
        <v>360</v>
      </c>
      <c r="C45" s="126" t="s">
        <v>433</v>
      </c>
      <c r="D45" s="129"/>
      <c r="E45" s="27"/>
      <c r="F45" s="126" t="s">
        <v>597</v>
      </c>
      <c r="G45" s="126"/>
      <c r="H45" s="1" t="s">
        <v>16</v>
      </c>
      <c r="I45" s="108" t="s">
        <v>7</v>
      </c>
      <c r="J45" s="108" t="s">
        <v>8</v>
      </c>
      <c r="K45" s="108" t="s">
        <v>7</v>
      </c>
      <c r="L45" s="97" t="s">
        <v>1032</v>
      </c>
      <c r="M45" s="153">
        <v>2017</v>
      </c>
      <c r="N45" s="86">
        <v>2020</v>
      </c>
      <c r="O45" s="142"/>
      <c r="P45" s="127"/>
      <c r="Q45" s="254"/>
      <c r="R45" s="141"/>
      <c r="S45" s="141"/>
      <c r="T45" s="141"/>
      <c r="U45" s="142"/>
      <c r="V45" s="142"/>
      <c r="W45" s="1" t="s">
        <v>1329</v>
      </c>
      <c r="X45" s="108"/>
      <c r="Y45" s="108"/>
      <c r="Z45" s="296" t="s">
        <v>1087</v>
      </c>
      <c r="AA45" s="165" t="s">
        <v>1266</v>
      </c>
      <c r="AB45" s="165" t="s">
        <v>1209</v>
      </c>
      <c r="AC45" s="117"/>
      <c r="AD4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4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4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4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45"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45"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5" s="10">
        <f t="shared" si="0"/>
        <v>0</v>
      </c>
      <c r="AK45" s="10">
        <f t="shared" si="2"/>
        <v>0</v>
      </c>
      <c r="AL45" s="10">
        <f t="shared" si="1"/>
        <v>0</v>
      </c>
      <c r="AM45" s="6"/>
    </row>
    <row r="46" spans="1:39" ht="31.5" customHeight="1">
      <c r="A46" s="21" t="s">
        <v>231</v>
      </c>
      <c r="B46" s="21" t="s">
        <v>360</v>
      </c>
      <c r="C46" s="126" t="s">
        <v>433</v>
      </c>
      <c r="D46" s="129"/>
      <c r="E46" s="27"/>
      <c r="F46" s="126" t="s">
        <v>589</v>
      </c>
      <c r="G46" s="126" t="s">
        <v>590</v>
      </c>
      <c r="H46" s="1" t="s">
        <v>14</v>
      </c>
      <c r="I46" s="108" t="s">
        <v>7</v>
      </c>
      <c r="J46" s="108" t="s">
        <v>8</v>
      </c>
      <c r="K46" s="108" t="s">
        <v>7</v>
      </c>
      <c r="L46" s="97" t="s">
        <v>444</v>
      </c>
      <c r="M46" s="153">
        <v>2014</v>
      </c>
      <c r="N46" s="86">
        <v>2017</v>
      </c>
      <c r="O46" s="142"/>
      <c r="P46" s="127"/>
      <c r="Q46" s="254"/>
      <c r="R46" s="141"/>
      <c r="S46" s="141"/>
      <c r="T46" s="141"/>
      <c r="U46" s="142"/>
      <c r="V46" s="142"/>
      <c r="W46" s="1" t="s">
        <v>1329</v>
      </c>
      <c r="X46" s="108"/>
      <c r="Y46" s="108"/>
      <c r="Z46" s="296" t="s">
        <v>1087</v>
      </c>
      <c r="AA46" s="165" t="s">
        <v>1266</v>
      </c>
      <c r="AB46" s="165" t="s">
        <v>1209</v>
      </c>
      <c r="AC46" s="117"/>
      <c r="AD4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4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4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4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46"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46"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6" s="10">
        <f t="shared" si="0"/>
        <v>0</v>
      </c>
      <c r="AK46" s="10">
        <f t="shared" si="2"/>
        <v>0</v>
      </c>
      <c r="AL46" s="10">
        <f t="shared" si="1"/>
        <v>0</v>
      </c>
      <c r="AM46" s="6"/>
    </row>
    <row r="47" spans="1:39" ht="31.5" customHeight="1">
      <c r="A47" s="21" t="s">
        <v>231</v>
      </c>
      <c r="B47" s="21" t="s">
        <v>360</v>
      </c>
      <c r="C47" s="126" t="s">
        <v>433</v>
      </c>
      <c r="D47" s="129"/>
      <c r="E47" s="27"/>
      <c r="F47" s="126" t="s">
        <v>592</v>
      </c>
      <c r="G47" s="126" t="s">
        <v>593</v>
      </c>
      <c r="H47" s="1" t="s">
        <v>21</v>
      </c>
      <c r="I47" s="108" t="s">
        <v>7</v>
      </c>
      <c r="J47" s="108" t="s">
        <v>8</v>
      </c>
      <c r="K47" s="108" t="s">
        <v>7</v>
      </c>
      <c r="L47" s="97" t="s">
        <v>1054</v>
      </c>
      <c r="M47" s="153">
        <v>2012</v>
      </c>
      <c r="N47" s="86">
        <v>2015</v>
      </c>
      <c r="O47" s="142"/>
      <c r="P47" s="127"/>
      <c r="Q47" s="254"/>
      <c r="R47" s="141"/>
      <c r="S47" s="141"/>
      <c r="T47" s="141"/>
      <c r="U47" s="142"/>
      <c r="V47" s="142"/>
      <c r="W47" s="1" t="s">
        <v>1329</v>
      </c>
      <c r="X47" s="108"/>
      <c r="Y47" s="108"/>
      <c r="Z47" s="296" t="s">
        <v>1087</v>
      </c>
      <c r="AA47" s="165" t="s">
        <v>1266</v>
      </c>
      <c r="AB47" s="165" t="s">
        <v>1209</v>
      </c>
      <c r="AC47" s="117"/>
      <c r="AD4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4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4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4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47"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47"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7" s="10">
        <f t="shared" si="0"/>
        <v>0</v>
      </c>
      <c r="AK47" s="10">
        <f t="shared" si="2"/>
        <v>0</v>
      </c>
      <c r="AL47" s="10">
        <f t="shared" si="1"/>
        <v>0</v>
      </c>
      <c r="AM47" s="6"/>
    </row>
    <row r="48" spans="1:39" ht="31.5" customHeight="1">
      <c r="A48" s="21" t="s">
        <v>231</v>
      </c>
      <c r="B48" s="21" t="s">
        <v>360</v>
      </c>
      <c r="C48" s="126" t="s">
        <v>433</v>
      </c>
      <c r="D48" s="129"/>
      <c r="E48" s="27"/>
      <c r="F48" s="126" t="s">
        <v>596</v>
      </c>
      <c r="G48" s="126"/>
      <c r="H48" s="1" t="s">
        <v>17</v>
      </c>
      <c r="I48" s="108" t="s">
        <v>7</v>
      </c>
      <c r="J48" s="108" t="s">
        <v>8</v>
      </c>
      <c r="K48" s="108" t="s">
        <v>7</v>
      </c>
      <c r="L48" s="97" t="s">
        <v>449</v>
      </c>
      <c r="M48" s="153">
        <v>2017</v>
      </c>
      <c r="N48" s="86">
        <v>2020</v>
      </c>
      <c r="O48" s="142"/>
      <c r="P48" s="127"/>
      <c r="Q48" s="254"/>
      <c r="R48" s="141"/>
      <c r="S48" s="141"/>
      <c r="T48" s="141"/>
      <c r="U48" s="142"/>
      <c r="V48" s="142"/>
      <c r="W48" s="1" t="s">
        <v>1329</v>
      </c>
      <c r="X48" s="108"/>
      <c r="Y48" s="108"/>
      <c r="Z48" s="296" t="s">
        <v>1087</v>
      </c>
      <c r="AA48" s="165" t="s">
        <v>1266</v>
      </c>
      <c r="AB48" s="165" t="s">
        <v>1209</v>
      </c>
      <c r="AC48" s="117"/>
      <c r="AD4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4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4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4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48"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48"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8" s="10">
        <f t="shared" si="0"/>
        <v>0</v>
      </c>
      <c r="AK48" s="10">
        <f t="shared" si="2"/>
        <v>0</v>
      </c>
      <c r="AL48" s="10">
        <f t="shared" si="1"/>
        <v>0</v>
      </c>
      <c r="AM48" s="6"/>
    </row>
    <row r="49" spans="1:39" ht="31.5" customHeight="1">
      <c r="A49" s="21" t="s">
        <v>231</v>
      </c>
      <c r="B49" s="21" t="s">
        <v>360</v>
      </c>
      <c r="C49" s="126" t="s">
        <v>433</v>
      </c>
      <c r="D49" s="129"/>
      <c r="E49" s="27"/>
      <c r="F49" s="126" t="s">
        <v>578</v>
      </c>
      <c r="G49" s="126" t="s">
        <v>579</v>
      </c>
      <c r="H49" s="1" t="s">
        <v>25</v>
      </c>
      <c r="I49" s="108" t="s">
        <v>7</v>
      </c>
      <c r="J49" s="108" t="s">
        <v>8</v>
      </c>
      <c r="K49" s="108" t="s">
        <v>7</v>
      </c>
      <c r="L49" s="97" t="s">
        <v>449</v>
      </c>
      <c r="M49" s="153">
        <v>2014</v>
      </c>
      <c r="N49" s="86">
        <v>2017</v>
      </c>
      <c r="O49" s="142"/>
      <c r="P49" s="127"/>
      <c r="Q49" s="254"/>
      <c r="R49" s="141"/>
      <c r="S49" s="141"/>
      <c r="T49" s="141"/>
      <c r="U49" s="142"/>
      <c r="V49" s="142"/>
      <c r="W49" s="1" t="s">
        <v>1329</v>
      </c>
      <c r="X49" s="108"/>
      <c r="Y49" s="108"/>
      <c r="Z49" s="296" t="s">
        <v>1087</v>
      </c>
      <c r="AA49" s="165" t="s">
        <v>1266</v>
      </c>
      <c r="AB49" s="165" t="s">
        <v>1209</v>
      </c>
      <c r="AC49" s="117"/>
      <c r="AD4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4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4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4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49"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49"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9" s="10">
        <f t="shared" si="0"/>
        <v>0</v>
      </c>
      <c r="AK49" s="10">
        <f t="shared" si="2"/>
        <v>0</v>
      </c>
      <c r="AL49" s="10">
        <f t="shared" si="1"/>
        <v>0</v>
      </c>
      <c r="AM49" s="6"/>
    </row>
    <row r="50" spans="1:39" ht="31.5" customHeight="1">
      <c r="A50" s="21" t="s">
        <v>231</v>
      </c>
      <c r="B50" s="21" t="s">
        <v>360</v>
      </c>
      <c r="C50" s="126" t="s">
        <v>433</v>
      </c>
      <c r="D50" s="129"/>
      <c r="E50" s="27"/>
      <c r="F50" s="126" t="s">
        <v>580</v>
      </c>
      <c r="G50" s="126" t="s">
        <v>580</v>
      </c>
      <c r="H50" s="1" t="s">
        <v>20</v>
      </c>
      <c r="I50" s="108" t="s">
        <v>7</v>
      </c>
      <c r="J50" s="108" t="s">
        <v>8</v>
      </c>
      <c r="K50" s="108" t="s">
        <v>7</v>
      </c>
      <c r="L50" s="97" t="s">
        <v>449</v>
      </c>
      <c r="M50" s="153">
        <v>2014</v>
      </c>
      <c r="N50" s="86">
        <v>2017</v>
      </c>
      <c r="O50" s="142"/>
      <c r="P50" s="127"/>
      <c r="Q50" s="254"/>
      <c r="R50" s="141"/>
      <c r="S50" s="141"/>
      <c r="T50" s="141"/>
      <c r="U50" s="142"/>
      <c r="V50" s="142"/>
      <c r="W50" s="1" t="s">
        <v>1329</v>
      </c>
      <c r="X50" s="108"/>
      <c r="Y50" s="108"/>
      <c r="Z50" s="296" t="s">
        <v>1087</v>
      </c>
      <c r="AA50" s="165" t="s">
        <v>1266</v>
      </c>
      <c r="AB50" s="165" t="s">
        <v>1209</v>
      </c>
      <c r="AC50" s="117"/>
      <c r="AD5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5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5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0"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0"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0" s="10">
        <f t="shared" si="0"/>
        <v>0</v>
      </c>
      <c r="AK50" s="10">
        <f t="shared" si="2"/>
        <v>0</v>
      </c>
      <c r="AL50" s="10">
        <f t="shared" si="1"/>
        <v>0</v>
      </c>
      <c r="AM50" s="6"/>
    </row>
    <row r="51" spans="1:39" ht="31.5" customHeight="1">
      <c r="A51" s="21" t="s">
        <v>231</v>
      </c>
      <c r="B51" s="21" t="s">
        <v>360</v>
      </c>
      <c r="C51" s="126" t="s">
        <v>433</v>
      </c>
      <c r="D51" s="129"/>
      <c r="E51" s="27"/>
      <c r="F51" s="126" t="s">
        <v>581</v>
      </c>
      <c r="G51" s="126" t="s">
        <v>582</v>
      </c>
      <c r="H51" s="1" t="s">
        <v>23</v>
      </c>
      <c r="I51" s="108" t="s">
        <v>7</v>
      </c>
      <c r="J51" s="108" t="s">
        <v>8</v>
      </c>
      <c r="K51" s="108" t="s">
        <v>7</v>
      </c>
      <c r="L51" s="97" t="s">
        <v>449</v>
      </c>
      <c r="M51" s="153">
        <v>2015</v>
      </c>
      <c r="N51" s="86">
        <v>2018</v>
      </c>
      <c r="O51" s="142"/>
      <c r="P51" s="127"/>
      <c r="Q51" s="254"/>
      <c r="R51" s="141"/>
      <c r="S51" s="141"/>
      <c r="T51" s="141"/>
      <c r="U51" s="142"/>
      <c r="V51" s="142"/>
      <c r="W51" s="1" t="s">
        <v>1329</v>
      </c>
      <c r="X51" s="108"/>
      <c r="Y51" s="108"/>
      <c r="Z51" s="296" t="s">
        <v>1087</v>
      </c>
      <c r="AA51" s="165" t="s">
        <v>1266</v>
      </c>
      <c r="AB51" s="165" t="s">
        <v>1209</v>
      </c>
      <c r="AC51" s="117"/>
      <c r="AD5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5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5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1"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1"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1" s="10">
        <f t="shared" si="0"/>
        <v>0</v>
      </c>
      <c r="AK51" s="10">
        <f t="shared" si="2"/>
        <v>0</v>
      </c>
      <c r="AL51" s="10">
        <f t="shared" si="1"/>
        <v>0</v>
      </c>
      <c r="AM51" s="6"/>
    </row>
    <row r="52" spans="1:39" ht="31.5" customHeight="1">
      <c r="A52" s="21" t="s">
        <v>231</v>
      </c>
      <c r="B52" s="21" t="s">
        <v>360</v>
      </c>
      <c r="C52" s="126" t="s">
        <v>433</v>
      </c>
      <c r="D52" s="129"/>
      <c r="E52" s="27"/>
      <c r="F52" s="126" t="s">
        <v>567</v>
      </c>
      <c r="G52" s="126" t="s">
        <v>568</v>
      </c>
      <c r="H52" s="1" t="s">
        <v>14</v>
      </c>
      <c r="I52" s="108" t="s">
        <v>7</v>
      </c>
      <c r="J52" s="108" t="s">
        <v>8</v>
      </c>
      <c r="K52" s="108" t="s">
        <v>7</v>
      </c>
      <c r="L52" s="97" t="s">
        <v>1032</v>
      </c>
      <c r="M52" s="153">
        <v>2014</v>
      </c>
      <c r="N52" s="86">
        <v>2017</v>
      </c>
      <c r="O52" s="142"/>
      <c r="P52" s="127"/>
      <c r="Q52" s="254"/>
      <c r="R52" s="141"/>
      <c r="S52" s="141"/>
      <c r="T52" s="141"/>
      <c r="U52" s="142"/>
      <c r="V52" s="142"/>
      <c r="W52" s="1" t="s">
        <v>1329</v>
      </c>
      <c r="X52" s="108"/>
      <c r="Y52" s="108"/>
      <c r="Z52" s="296" t="s">
        <v>1087</v>
      </c>
      <c r="AA52" s="165" t="s">
        <v>1266</v>
      </c>
      <c r="AB52" s="165" t="s">
        <v>1209</v>
      </c>
      <c r="AC52" s="117"/>
      <c r="AD5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5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5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2"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2"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2" s="10">
        <f t="shared" si="0"/>
        <v>0</v>
      </c>
      <c r="AK52" s="10">
        <f t="shared" si="2"/>
        <v>0</v>
      </c>
      <c r="AL52" s="10">
        <f t="shared" si="1"/>
        <v>0</v>
      </c>
      <c r="AM52" s="6"/>
    </row>
    <row r="53" spans="1:39" ht="31.5" customHeight="1">
      <c r="A53" s="21" t="s">
        <v>231</v>
      </c>
      <c r="B53" s="21" t="s">
        <v>360</v>
      </c>
      <c r="C53" s="126" t="s">
        <v>433</v>
      </c>
      <c r="D53" s="129"/>
      <c r="E53" s="27"/>
      <c r="F53" s="126" t="s">
        <v>583</v>
      </c>
      <c r="G53" s="126" t="s">
        <v>584</v>
      </c>
      <c r="H53" s="1" t="s">
        <v>26</v>
      </c>
      <c r="I53" s="108" t="s">
        <v>7</v>
      </c>
      <c r="J53" s="108" t="s">
        <v>8</v>
      </c>
      <c r="K53" s="108" t="s">
        <v>7</v>
      </c>
      <c r="L53" s="97" t="s">
        <v>449</v>
      </c>
      <c r="M53" s="153">
        <v>2015</v>
      </c>
      <c r="N53" s="86">
        <v>2018</v>
      </c>
      <c r="O53" s="142"/>
      <c r="P53" s="127"/>
      <c r="Q53" s="254"/>
      <c r="R53" s="141"/>
      <c r="S53" s="141"/>
      <c r="T53" s="141"/>
      <c r="U53" s="142"/>
      <c r="V53" s="142"/>
      <c r="W53" s="1" t="s">
        <v>1329</v>
      </c>
      <c r="X53" s="108"/>
      <c r="Y53" s="108"/>
      <c r="Z53" s="296" t="s">
        <v>1087</v>
      </c>
      <c r="AA53" s="165" t="s">
        <v>1266</v>
      </c>
      <c r="AB53" s="165" t="s">
        <v>1209</v>
      </c>
      <c r="AC53" s="117"/>
      <c r="AD5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5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5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3"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3"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3" s="10">
        <f t="shared" si="0"/>
        <v>0</v>
      </c>
      <c r="AK53" s="10">
        <f t="shared" si="2"/>
        <v>0</v>
      </c>
      <c r="AL53" s="10">
        <f t="shared" si="1"/>
        <v>0</v>
      </c>
      <c r="AM53" s="6"/>
    </row>
    <row r="54" spans="1:39" ht="31.5" customHeight="1">
      <c r="A54" s="21" t="s">
        <v>231</v>
      </c>
      <c r="B54" s="21" t="s">
        <v>360</v>
      </c>
      <c r="C54" s="126" t="s">
        <v>433</v>
      </c>
      <c r="D54" s="129"/>
      <c r="E54" s="27"/>
      <c r="F54" s="126" t="s">
        <v>591</v>
      </c>
      <c r="G54" s="126" t="s">
        <v>55</v>
      </c>
      <c r="H54" s="1" t="s">
        <v>14</v>
      </c>
      <c r="I54" s="108" t="s">
        <v>7</v>
      </c>
      <c r="J54" s="108" t="s">
        <v>8</v>
      </c>
      <c r="K54" s="108" t="s">
        <v>7</v>
      </c>
      <c r="L54" s="97" t="s">
        <v>444</v>
      </c>
      <c r="M54" s="153">
        <v>2016</v>
      </c>
      <c r="N54" s="86">
        <v>2019</v>
      </c>
      <c r="O54" s="142"/>
      <c r="P54" s="127"/>
      <c r="Q54" s="254"/>
      <c r="R54" s="141"/>
      <c r="S54" s="141"/>
      <c r="T54" s="141"/>
      <c r="U54" s="142"/>
      <c r="V54" s="142"/>
      <c r="W54" s="1" t="s">
        <v>1329</v>
      </c>
      <c r="X54" s="108"/>
      <c r="Y54" s="108"/>
      <c r="Z54" s="296" t="s">
        <v>1087</v>
      </c>
      <c r="AA54" s="165" t="s">
        <v>1266</v>
      </c>
      <c r="AB54" s="165" t="s">
        <v>1209</v>
      </c>
      <c r="AC54" s="117"/>
      <c r="AD5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5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5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4"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4"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4" s="10">
        <f t="shared" si="0"/>
        <v>0</v>
      </c>
      <c r="AK54" s="10">
        <f t="shared" si="2"/>
        <v>0</v>
      </c>
      <c r="AL54" s="10">
        <f t="shared" si="1"/>
        <v>0</v>
      </c>
      <c r="AM54" s="6"/>
    </row>
    <row r="55" spans="1:39" ht="31.5" customHeight="1">
      <c r="A55" s="21" t="s">
        <v>231</v>
      </c>
      <c r="B55" s="21" t="s">
        <v>360</v>
      </c>
      <c r="C55" s="126" t="s">
        <v>433</v>
      </c>
      <c r="D55" s="129"/>
      <c r="E55" s="27"/>
      <c r="F55" s="126" t="s">
        <v>569</v>
      </c>
      <c r="G55" s="126" t="s">
        <v>570</v>
      </c>
      <c r="H55" s="1" t="s">
        <v>16</v>
      </c>
      <c r="I55" s="108" t="s">
        <v>7</v>
      </c>
      <c r="J55" s="108" t="s">
        <v>8</v>
      </c>
      <c r="K55" s="108" t="s">
        <v>7</v>
      </c>
      <c r="L55" s="97" t="s">
        <v>1032</v>
      </c>
      <c r="M55" s="153">
        <v>2017</v>
      </c>
      <c r="N55" s="86">
        <v>2020</v>
      </c>
      <c r="O55" s="142"/>
      <c r="P55" s="127"/>
      <c r="Q55" s="254"/>
      <c r="R55" s="141"/>
      <c r="S55" s="141"/>
      <c r="T55" s="141"/>
      <c r="U55" s="142"/>
      <c r="V55" s="142"/>
      <c r="W55" s="1" t="s">
        <v>1329</v>
      </c>
      <c r="X55" s="108"/>
      <c r="Y55" s="108"/>
      <c r="Z55" s="296" t="s">
        <v>1087</v>
      </c>
      <c r="AA55" s="165" t="s">
        <v>1266</v>
      </c>
      <c r="AB55" s="165" t="s">
        <v>1209</v>
      </c>
      <c r="AC55" s="117"/>
      <c r="AD5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5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5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5"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5"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5" s="10">
        <f t="shared" si="0"/>
        <v>0</v>
      </c>
      <c r="AK55" s="10">
        <f t="shared" si="2"/>
        <v>0</v>
      </c>
      <c r="AL55" s="10">
        <f t="shared" si="1"/>
        <v>0</v>
      </c>
      <c r="AM55" s="6"/>
    </row>
    <row r="56" spans="1:39" ht="31.5" customHeight="1">
      <c r="A56" s="21" t="s">
        <v>231</v>
      </c>
      <c r="B56" s="21" t="s">
        <v>360</v>
      </c>
      <c r="C56" s="126" t="s">
        <v>433</v>
      </c>
      <c r="D56" s="129"/>
      <c r="E56" s="27"/>
      <c r="F56" s="126" t="s">
        <v>926</v>
      </c>
      <c r="G56" s="126"/>
      <c r="H56" s="1" t="s">
        <v>22</v>
      </c>
      <c r="I56" s="108" t="s">
        <v>7</v>
      </c>
      <c r="J56" s="108" t="s">
        <v>8</v>
      </c>
      <c r="K56" s="108" t="s">
        <v>7</v>
      </c>
      <c r="L56" s="97" t="s">
        <v>449</v>
      </c>
      <c r="M56" s="153">
        <v>2015</v>
      </c>
      <c r="N56" s="86">
        <v>2018</v>
      </c>
      <c r="O56" s="142"/>
      <c r="P56" s="127"/>
      <c r="Q56" s="254"/>
      <c r="R56" s="141"/>
      <c r="S56" s="141"/>
      <c r="T56" s="141"/>
      <c r="U56" s="142"/>
      <c r="V56" s="142"/>
      <c r="W56" s="1" t="s">
        <v>1329</v>
      </c>
      <c r="X56" s="108"/>
      <c r="Y56" s="108"/>
      <c r="Z56" s="296" t="s">
        <v>1087</v>
      </c>
      <c r="AA56" s="165" t="s">
        <v>1266</v>
      </c>
      <c r="AB56" s="165" t="s">
        <v>1209</v>
      </c>
      <c r="AC56" s="117"/>
      <c r="AD5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5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5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6"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6"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6" s="10">
        <f t="shared" si="0"/>
        <v>0</v>
      </c>
      <c r="AK56" s="10">
        <f t="shared" si="2"/>
        <v>0</v>
      </c>
      <c r="AL56" s="10">
        <f t="shared" si="1"/>
        <v>0</v>
      </c>
      <c r="AM56" s="6"/>
    </row>
    <row r="57" spans="1:39" ht="31.5" customHeight="1">
      <c r="A57" s="21" t="s">
        <v>231</v>
      </c>
      <c r="B57" s="21" t="s">
        <v>360</v>
      </c>
      <c r="C57" s="126" t="s">
        <v>433</v>
      </c>
      <c r="D57" s="129"/>
      <c r="E57" s="27"/>
      <c r="F57" s="126" t="s">
        <v>585</v>
      </c>
      <c r="G57" s="126" t="s">
        <v>586</v>
      </c>
      <c r="H57" s="1" t="s">
        <v>20</v>
      </c>
      <c r="I57" s="108" t="s">
        <v>7</v>
      </c>
      <c r="J57" s="108" t="s">
        <v>8</v>
      </c>
      <c r="K57" s="108" t="s">
        <v>7</v>
      </c>
      <c r="L57" s="97" t="s">
        <v>449</v>
      </c>
      <c r="M57" s="153">
        <v>2015</v>
      </c>
      <c r="N57" s="86">
        <v>2018</v>
      </c>
      <c r="O57" s="142"/>
      <c r="P57" s="127"/>
      <c r="Q57" s="254"/>
      <c r="R57" s="141"/>
      <c r="S57" s="141"/>
      <c r="T57" s="141"/>
      <c r="U57" s="142"/>
      <c r="V57" s="142"/>
      <c r="W57" s="1" t="s">
        <v>1329</v>
      </c>
      <c r="X57" s="108"/>
      <c r="Y57" s="108"/>
      <c r="Z57" s="296" t="s">
        <v>1087</v>
      </c>
      <c r="AA57" s="165" t="s">
        <v>1266</v>
      </c>
      <c r="AB57" s="165" t="s">
        <v>1209</v>
      </c>
      <c r="AC57" s="117"/>
      <c r="AD5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5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5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7"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7"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7" s="10">
        <f t="shared" si="0"/>
        <v>0</v>
      </c>
      <c r="AK57" s="10">
        <f t="shared" si="2"/>
        <v>0</v>
      </c>
      <c r="AL57" s="10">
        <f t="shared" si="1"/>
        <v>0</v>
      </c>
      <c r="AM57" s="6"/>
    </row>
    <row r="58" spans="1:39" ht="31.5" customHeight="1">
      <c r="A58" s="21" t="s">
        <v>231</v>
      </c>
      <c r="B58" s="21" t="s">
        <v>360</v>
      </c>
      <c r="C58" s="126" t="s">
        <v>433</v>
      </c>
      <c r="D58" s="129"/>
      <c r="E58" s="27"/>
      <c r="F58" s="126" t="s">
        <v>594</v>
      </c>
      <c r="G58" s="126"/>
      <c r="H58" s="1" t="s">
        <v>20</v>
      </c>
      <c r="I58" s="108" t="s">
        <v>7</v>
      </c>
      <c r="J58" s="108" t="s">
        <v>8</v>
      </c>
      <c r="K58" s="108" t="s">
        <v>7</v>
      </c>
      <c r="L58" s="97" t="s">
        <v>449</v>
      </c>
      <c r="M58" s="153">
        <v>2016</v>
      </c>
      <c r="N58" s="86">
        <v>2019</v>
      </c>
      <c r="O58" s="142"/>
      <c r="P58" s="127"/>
      <c r="Q58" s="254"/>
      <c r="R58" s="141"/>
      <c r="S58" s="141"/>
      <c r="T58" s="141"/>
      <c r="U58" s="142"/>
      <c r="V58" s="142"/>
      <c r="W58" s="1" t="s">
        <v>1329</v>
      </c>
      <c r="X58" s="108"/>
      <c r="Y58" s="108"/>
      <c r="Z58" s="296" t="s">
        <v>1087</v>
      </c>
      <c r="AA58" s="165" t="s">
        <v>1266</v>
      </c>
      <c r="AB58" s="165" t="s">
        <v>1209</v>
      </c>
      <c r="AC58" s="117"/>
      <c r="AD5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5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5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8"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8"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8" s="10">
        <f t="shared" si="0"/>
        <v>0</v>
      </c>
      <c r="AK58" s="10">
        <f t="shared" si="2"/>
        <v>0</v>
      </c>
      <c r="AL58" s="10">
        <f t="shared" si="1"/>
        <v>0</v>
      </c>
      <c r="AM58" s="6"/>
    </row>
    <row r="59" spans="1:39" ht="31.5" customHeight="1">
      <c r="A59" s="21" t="s">
        <v>231</v>
      </c>
      <c r="B59" s="21" t="s">
        <v>360</v>
      </c>
      <c r="C59" s="126" t="s">
        <v>433</v>
      </c>
      <c r="D59" s="129"/>
      <c r="E59" s="27"/>
      <c r="F59" s="126" t="s">
        <v>587</v>
      </c>
      <c r="G59" s="126" t="s">
        <v>588</v>
      </c>
      <c r="H59" s="1" t="s">
        <v>14</v>
      </c>
      <c r="I59" s="108" t="s">
        <v>7</v>
      </c>
      <c r="J59" s="108" t="s">
        <v>8</v>
      </c>
      <c r="K59" s="108" t="s">
        <v>7</v>
      </c>
      <c r="L59" s="97" t="s">
        <v>449</v>
      </c>
      <c r="M59" s="153">
        <v>2014</v>
      </c>
      <c r="N59" s="86">
        <v>2017</v>
      </c>
      <c r="O59" s="142"/>
      <c r="P59" s="127"/>
      <c r="Q59" s="254"/>
      <c r="R59" s="141"/>
      <c r="S59" s="141"/>
      <c r="T59" s="141"/>
      <c r="U59" s="142"/>
      <c r="V59" s="142"/>
      <c r="W59" s="1" t="s">
        <v>1329</v>
      </c>
      <c r="X59" s="108"/>
      <c r="Y59" s="108"/>
      <c r="Z59" s="296" t="s">
        <v>1087</v>
      </c>
      <c r="AA59" s="165" t="s">
        <v>1266</v>
      </c>
      <c r="AB59" s="165" t="s">
        <v>1209</v>
      </c>
      <c r="AC59" s="117"/>
      <c r="AD5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5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5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9"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9"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9" s="10">
        <f t="shared" si="0"/>
        <v>0</v>
      </c>
      <c r="AK59" s="10">
        <f t="shared" si="2"/>
        <v>0</v>
      </c>
      <c r="AL59" s="10">
        <f t="shared" si="1"/>
        <v>0</v>
      </c>
      <c r="AM59" s="6"/>
    </row>
    <row r="60" spans="1:39" ht="31.5" customHeight="1">
      <c r="A60" s="21" t="s">
        <v>231</v>
      </c>
      <c r="B60" s="21" t="s">
        <v>360</v>
      </c>
      <c r="C60" s="126" t="s">
        <v>433</v>
      </c>
      <c r="D60" s="129"/>
      <c r="E60" s="27"/>
      <c r="F60" s="126" t="s">
        <v>571</v>
      </c>
      <c r="G60" s="126" t="s">
        <v>572</v>
      </c>
      <c r="H60" s="1" t="s">
        <v>26</v>
      </c>
      <c r="I60" s="108" t="s">
        <v>7</v>
      </c>
      <c r="J60" s="108" t="s">
        <v>8</v>
      </c>
      <c r="K60" s="108" t="s">
        <v>7</v>
      </c>
      <c r="L60" s="97" t="s">
        <v>1032</v>
      </c>
      <c r="M60" s="153">
        <v>2017</v>
      </c>
      <c r="N60" s="86">
        <v>2020</v>
      </c>
      <c r="O60" s="142"/>
      <c r="P60" s="127"/>
      <c r="Q60" s="254"/>
      <c r="R60" s="141"/>
      <c r="S60" s="141"/>
      <c r="T60" s="141"/>
      <c r="U60" s="142"/>
      <c r="V60" s="142"/>
      <c r="W60" s="1" t="s">
        <v>1329</v>
      </c>
      <c r="X60" s="108"/>
      <c r="Y60" s="108"/>
      <c r="Z60" s="296" t="s">
        <v>1087</v>
      </c>
      <c r="AA60" s="165" t="s">
        <v>1266</v>
      </c>
      <c r="AB60" s="165" t="s">
        <v>1209</v>
      </c>
      <c r="AC60" s="117"/>
      <c r="AD6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6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6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6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60"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60"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60" s="10">
        <f t="shared" si="0"/>
        <v>0</v>
      </c>
      <c r="AK60" s="10">
        <f t="shared" si="2"/>
        <v>0</v>
      </c>
      <c r="AL60" s="10">
        <f t="shared" si="1"/>
        <v>0</v>
      </c>
      <c r="AM60" s="6"/>
    </row>
    <row r="61" spans="1:39" ht="31.5" customHeight="1">
      <c r="A61" s="21" t="s">
        <v>231</v>
      </c>
      <c r="B61" s="21" t="s">
        <v>360</v>
      </c>
      <c r="C61" s="126" t="s">
        <v>433</v>
      </c>
      <c r="D61" s="129"/>
      <c r="E61" s="27"/>
      <c r="F61" s="126" t="s">
        <v>573</v>
      </c>
      <c r="G61" s="126" t="s">
        <v>574</v>
      </c>
      <c r="H61" s="1" t="s">
        <v>21</v>
      </c>
      <c r="I61" s="108" t="s">
        <v>7</v>
      </c>
      <c r="J61" s="108" t="s">
        <v>8</v>
      </c>
      <c r="K61" s="108" t="s">
        <v>7</v>
      </c>
      <c r="L61" s="97" t="s">
        <v>1032</v>
      </c>
      <c r="M61" s="153">
        <v>2014</v>
      </c>
      <c r="N61" s="86">
        <v>2017</v>
      </c>
      <c r="O61" s="142"/>
      <c r="P61" s="127"/>
      <c r="Q61" s="254"/>
      <c r="R61" s="141"/>
      <c r="S61" s="141"/>
      <c r="T61" s="141"/>
      <c r="U61" s="142"/>
      <c r="V61" s="142"/>
      <c r="W61" s="1" t="s">
        <v>1329</v>
      </c>
      <c r="X61" s="108"/>
      <c r="Y61" s="108"/>
      <c r="Z61" s="296" t="s">
        <v>1087</v>
      </c>
      <c r="AA61" s="165" t="s">
        <v>1266</v>
      </c>
      <c r="AB61" s="165" t="s">
        <v>1209</v>
      </c>
      <c r="AC61" s="117"/>
      <c r="AD6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6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6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6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61"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61"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61" s="10">
        <f t="shared" si="0"/>
        <v>0</v>
      </c>
      <c r="AK61" s="10">
        <f t="shared" si="2"/>
        <v>0</v>
      </c>
      <c r="AL61" s="10">
        <f t="shared" si="1"/>
        <v>0</v>
      </c>
      <c r="AM61" s="6"/>
    </row>
    <row r="62" spans="1:39" ht="31.5" customHeight="1">
      <c r="A62" s="21" t="s">
        <v>231</v>
      </c>
      <c r="B62" s="21" t="s">
        <v>360</v>
      </c>
      <c r="C62" s="126" t="s">
        <v>433</v>
      </c>
      <c r="D62" s="129"/>
      <c r="E62" s="27"/>
      <c r="F62" s="126" t="s">
        <v>575</v>
      </c>
      <c r="G62" s="126" t="s">
        <v>574</v>
      </c>
      <c r="H62" s="1" t="s">
        <v>21</v>
      </c>
      <c r="I62" s="108" t="s">
        <v>7</v>
      </c>
      <c r="J62" s="108" t="s">
        <v>8</v>
      </c>
      <c r="K62" s="108" t="s">
        <v>7</v>
      </c>
      <c r="L62" s="97" t="s">
        <v>1032</v>
      </c>
      <c r="M62" s="153">
        <v>2016</v>
      </c>
      <c r="N62" s="86">
        <v>2019</v>
      </c>
      <c r="O62" s="142"/>
      <c r="P62" s="127"/>
      <c r="Q62" s="254"/>
      <c r="R62" s="141"/>
      <c r="S62" s="141"/>
      <c r="T62" s="141"/>
      <c r="U62" s="142"/>
      <c r="V62" s="142"/>
      <c r="W62" s="1" t="s">
        <v>1329</v>
      </c>
      <c r="X62" s="108"/>
      <c r="Y62" s="108"/>
      <c r="Z62" s="296" t="s">
        <v>1087</v>
      </c>
      <c r="AA62" s="165" t="s">
        <v>1266</v>
      </c>
      <c r="AB62" s="165" t="s">
        <v>1209</v>
      </c>
      <c r="AC62" s="117"/>
      <c r="AD6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6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6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6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62"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62"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62" s="10">
        <f t="shared" si="0"/>
        <v>0</v>
      </c>
      <c r="AK62" s="10">
        <f t="shared" si="2"/>
        <v>0</v>
      </c>
      <c r="AL62" s="10">
        <f t="shared" si="1"/>
        <v>0</v>
      </c>
      <c r="AM62" s="6"/>
    </row>
    <row r="63" spans="1:39" ht="31.5" customHeight="1">
      <c r="A63" s="21" t="s">
        <v>231</v>
      </c>
      <c r="B63" s="21" t="s">
        <v>360</v>
      </c>
      <c r="C63" s="126" t="s">
        <v>433</v>
      </c>
      <c r="D63" s="129"/>
      <c r="E63" s="27"/>
      <c r="F63" s="126" t="s">
        <v>595</v>
      </c>
      <c r="G63" s="126"/>
      <c r="H63" s="1" t="s">
        <v>20</v>
      </c>
      <c r="I63" s="108" t="s">
        <v>7</v>
      </c>
      <c r="J63" s="108" t="s">
        <v>8</v>
      </c>
      <c r="K63" s="108" t="s">
        <v>7</v>
      </c>
      <c r="L63" s="97" t="s">
        <v>449</v>
      </c>
      <c r="M63" s="153">
        <v>2016</v>
      </c>
      <c r="N63" s="86">
        <v>2019</v>
      </c>
      <c r="O63" s="142"/>
      <c r="P63" s="127"/>
      <c r="Q63" s="254"/>
      <c r="R63" s="141"/>
      <c r="S63" s="141"/>
      <c r="T63" s="141"/>
      <c r="U63" s="142"/>
      <c r="V63" s="142"/>
      <c r="W63" s="1" t="s">
        <v>1329</v>
      </c>
      <c r="X63" s="108"/>
      <c r="Y63" s="108"/>
      <c r="Z63" s="296" t="s">
        <v>1087</v>
      </c>
      <c r="AA63" s="165" t="s">
        <v>1266</v>
      </c>
      <c r="AB63" s="165" t="s">
        <v>1209</v>
      </c>
      <c r="AC63" s="117"/>
      <c r="AD6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6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6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6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63"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63"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63" s="10">
        <f t="shared" si="0"/>
        <v>0</v>
      </c>
      <c r="AK63" s="10">
        <f t="shared" si="2"/>
        <v>0</v>
      </c>
      <c r="AL63" s="10">
        <f t="shared" si="1"/>
        <v>0</v>
      </c>
      <c r="AM63" s="6"/>
    </row>
    <row r="64" spans="1:39" ht="31.5" customHeight="1">
      <c r="A64" s="21" t="s">
        <v>231</v>
      </c>
      <c r="B64" s="21" t="s">
        <v>360</v>
      </c>
      <c r="C64" s="126" t="s">
        <v>433</v>
      </c>
      <c r="D64" s="129"/>
      <c r="E64" s="27"/>
      <c r="F64" s="126" t="s">
        <v>598</v>
      </c>
      <c r="G64" s="126"/>
      <c r="H64" s="1" t="s">
        <v>23</v>
      </c>
      <c r="I64" s="108" t="s">
        <v>7</v>
      </c>
      <c r="J64" s="108" t="s">
        <v>8</v>
      </c>
      <c r="K64" s="108" t="s">
        <v>7</v>
      </c>
      <c r="L64" s="97" t="s">
        <v>444</v>
      </c>
      <c r="M64" s="153">
        <v>2015</v>
      </c>
      <c r="N64" s="86">
        <v>2018</v>
      </c>
      <c r="O64" s="142"/>
      <c r="P64" s="127"/>
      <c r="Q64" s="254"/>
      <c r="R64" s="141"/>
      <c r="S64" s="141"/>
      <c r="T64" s="141"/>
      <c r="U64" s="142"/>
      <c r="V64" s="142"/>
      <c r="W64" s="1" t="s">
        <v>1329</v>
      </c>
      <c r="X64" s="108"/>
      <c r="Y64" s="108"/>
      <c r="Z64" s="296" t="s">
        <v>1087</v>
      </c>
      <c r="AA64" s="165" t="s">
        <v>1266</v>
      </c>
      <c r="AB64" s="165" t="s">
        <v>1209</v>
      </c>
      <c r="AC64" s="117"/>
      <c r="AD6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6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6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6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64"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64"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64" s="10">
        <f t="shared" si="0"/>
        <v>0</v>
      </c>
      <c r="AK64" s="10">
        <f t="shared" si="2"/>
        <v>0</v>
      </c>
      <c r="AL64" s="10">
        <f t="shared" si="1"/>
        <v>0</v>
      </c>
      <c r="AM64" s="6"/>
    </row>
    <row r="65" spans="1:39" ht="31.5" customHeight="1">
      <c r="A65" s="6" t="s">
        <v>231</v>
      </c>
      <c r="B65" s="6" t="s">
        <v>360</v>
      </c>
      <c r="C65" s="129" t="s">
        <v>433</v>
      </c>
      <c r="D65" s="129"/>
      <c r="E65" s="27"/>
      <c r="F65" s="129" t="s">
        <v>929</v>
      </c>
      <c r="G65" s="28"/>
      <c r="H65" s="64" t="s">
        <v>23</v>
      </c>
      <c r="I65" s="108" t="s">
        <v>7</v>
      </c>
      <c r="J65" s="108" t="s">
        <v>8</v>
      </c>
      <c r="K65" s="108" t="s">
        <v>7</v>
      </c>
      <c r="L65" s="98" t="s">
        <v>444</v>
      </c>
      <c r="M65" s="86">
        <v>2017</v>
      </c>
      <c r="N65" s="86">
        <v>2020</v>
      </c>
      <c r="O65" s="104"/>
      <c r="P65" s="29"/>
      <c r="Q65" s="251"/>
      <c r="R65" s="104"/>
      <c r="S65" s="104"/>
      <c r="T65" s="104"/>
      <c r="U65" s="104"/>
      <c r="V65" s="104"/>
      <c r="W65" s="1" t="s">
        <v>1329</v>
      </c>
      <c r="X65" s="120"/>
      <c r="Y65" s="88"/>
      <c r="Z65" s="316" t="s">
        <v>1064</v>
      </c>
      <c r="AA65" s="165" t="s">
        <v>1266</v>
      </c>
      <c r="AB65" s="165" t="s">
        <v>1209</v>
      </c>
      <c r="AC65" s="117"/>
      <c r="AD6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6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6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6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65"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65"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65" s="10">
        <f t="shared" si="0"/>
        <v>0</v>
      </c>
      <c r="AK65" s="10">
        <f t="shared" si="2"/>
        <v>0</v>
      </c>
      <c r="AL65" s="10">
        <f t="shared" si="1"/>
        <v>0</v>
      </c>
      <c r="AM65" s="6"/>
    </row>
    <row r="66" spans="1:39" ht="31.5" customHeight="1">
      <c r="A66" s="6" t="s">
        <v>231</v>
      </c>
      <c r="B66" s="6" t="s">
        <v>360</v>
      </c>
      <c r="C66" s="129" t="s">
        <v>433</v>
      </c>
      <c r="D66" s="129"/>
      <c r="E66" s="27"/>
      <c r="F66" s="129" t="s">
        <v>930</v>
      </c>
      <c r="G66" s="28"/>
      <c r="H66" s="64" t="s">
        <v>18</v>
      </c>
      <c r="I66" s="108" t="s">
        <v>7</v>
      </c>
      <c r="J66" s="108" t="s">
        <v>8</v>
      </c>
      <c r="K66" s="108" t="s">
        <v>7</v>
      </c>
      <c r="L66" s="98" t="s">
        <v>444</v>
      </c>
      <c r="M66" s="86">
        <v>2018</v>
      </c>
      <c r="N66" s="86">
        <v>2021</v>
      </c>
      <c r="O66" s="104"/>
      <c r="P66" s="29"/>
      <c r="Q66" s="251"/>
      <c r="R66" s="104"/>
      <c r="S66" s="104"/>
      <c r="T66" s="104"/>
      <c r="U66" s="104"/>
      <c r="V66" s="104"/>
      <c r="W66" s="1" t="s">
        <v>1329</v>
      </c>
      <c r="X66" s="120"/>
      <c r="Y66" s="88"/>
      <c r="Z66" s="316" t="s">
        <v>1064</v>
      </c>
      <c r="AA66" s="165" t="s">
        <v>1266</v>
      </c>
      <c r="AB66" s="165" t="s">
        <v>1209</v>
      </c>
      <c r="AC66" s="117"/>
      <c r="AD6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6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6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6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66"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66"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66" s="10">
        <f t="shared" ref="AJ66:AJ129" si="8">SUM(AD66:AG66)</f>
        <v>0</v>
      </c>
      <c r="AK66" s="10">
        <f t="shared" si="2"/>
        <v>0</v>
      </c>
      <c r="AL66" s="10">
        <f t="shared" ref="AL66:AL129" si="9">+AJ66+AK66-AD66</f>
        <v>0</v>
      </c>
      <c r="AM66" s="6"/>
    </row>
    <row r="67" spans="1:39" ht="31.5" customHeight="1">
      <c r="A67" s="6" t="s">
        <v>231</v>
      </c>
      <c r="B67" s="6" t="s">
        <v>360</v>
      </c>
      <c r="C67" s="129" t="s">
        <v>433</v>
      </c>
      <c r="D67" s="129"/>
      <c r="E67" s="27"/>
      <c r="F67" s="129" t="s">
        <v>931</v>
      </c>
      <c r="G67" s="28"/>
      <c r="H67" s="64" t="s">
        <v>26</v>
      </c>
      <c r="I67" s="108" t="s">
        <v>7</v>
      </c>
      <c r="J67" s="108" t="s">
        <v>8</v>
      </c>
      <c r="K67" s="108" t="s">
        <v>7</v>
      </c>
      <c r="L67" s="98" t="s">
        <v>444</v>
      </c>
      <c r="M67" s="86">
        <v>2020</v>
      </c>
      <c r="N67" s="86">
        <v>2023</v>
      </c>
      <c r="O67" s="104"/>
      <c r="P67" s="29"/>
      <c r="Q67" s="251"/>
      <c r="R67" s="104"/>
      <c r="S67" s="104"/>
      <c r="T67" s="104"/>
      <c r="U67" s="104"/>
      <c r="V67" s="104"/>
      <c r="W67" s="1" t="s">
        <v>1329</v>
      </c>
      <c r="X67" s="120"/>
      <c r="Y67" s="88"/>
      <c r="Z67" s="316" t="s">
        <v>1064</v>
      </c>
      <c r="AA67" s="165" t="s">
        <v>1266</v>
      </c>
      <c r="AB67" s="165" t="s">
        <v>1209</v>
      </c>
      <c r="AC67" s="117"/>
      <c r="AD6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6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6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6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67"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67"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67" s="10">
        <f t="shared" si="8"/>
        <v>0</v>
      </c>
      <c r="AK67" s="10">
        <f t="shared" si="2"/>
        <v>0</v>
      </c>
      <c r="AL67" s="10">
        <f t="shared" si="9"/>
        <v>0</v>
      </c>
      <c r="AM67" s="6"/>
    </row>
    <row r="68" spans="1:39" ht="31.5" customHeight="1">
      <c r="A68" s="69" t="s">
        <v>231</v>
      </c>
      <c r="B68" s="69" t="s">
        <v>360</v>
      </c>
      <c r="C68" s="70" t="s">
        <v>443</v>
      </c>
      <c r="D68" s="80"/>
      <c r="E68" s="71"/>
      <c r="F68" s="70" t="s">
        <v>1108</v>
      </c>
      <c r="G68" s="70"/>
      <c r="H68" s="73" t="s">
        <v>6</v>
      </c>
      <c r="I68" s="107" t="s">
        <v>7</v>
      </c>
      <c r="J68" s="107" t="s">
        <v>8</v>
      </c>
      <c r="K68" s="107" t="s">
        <v>7</v>
      </c>
      <c r="L68" s="158" t="s">
        <v>444</v>
      </c>
      <c r="M68" s="99" t="s">
        <v>29</v>
      </c>
      <c r="N68" s="99" t="s">
        <v>29</v>
      </c>
      <c r="O68" s="139">
        <v>762.58</v>
      </c>
      <c r="P68" s="74"/>
      <c r="Q68" s="253"/>
      <c r="R68" s="139"/>
      <c r="S68" s="140"/>
      <c r="T68" s="143">
        <v>175.39</v>
      </c>
      <c r="U68" s="139">
        <v>587.19000000000005</v>
      </c>
      <c r="V68" s="157"/>
      <c r="W68" s="52" t="s">
        <v>1329</v>
      </c>
      <c r="X68" s="73" t="s">
        <v>19</v>
      </c>
      <c r="Y68" s="114" t="s">
        <v>249</v>
      </c>
      <c r="Z68" s="297"/>
      <c r="AA68" s="165" t="s">
        <v>1266</v>
      </c>
      <c r="AB68" s="165" t="s">
        <v>1209</v>
      </c>
      <c r="AC68" s="117"/>
      <c r="AD6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6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6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6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175.39</v>
      </c>
      <c r="AH68"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587.19000000000005</v>
      </c>
      <c r="AI68"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68" s="10">
        <f t="shared" si="8"/>
        <v>175.39</v>
      </c>
      <c r="AK68" s="10">
        <f t="shared" ref="AK68" si="10">+SUM(AH68:AI68)</f>
        <v>587.19000000000005</v>
      </c>
      <c r="AL68" s="10">
        <f t="shared" si="9"/>
        <v>762.58</v>
      </c>
      <c r="AM68" s="6"/>
    </row>
    <row r="69" spans="1:39" ht="31.5" customHeight="1">
      <c r="A69" s="69" t="s">
        <v>231</v>
      </c>
      <c r="B69" s="69" t="s">
        <v>360</v>
      </c>
      <c r="C69" s="70" t="s">
        <v>1238</v>
      </c>
      <c r="D69" s="80"/>
      <c r="E69" s="71"/>
      <c r="F69" s="70" t="s">
        <v>1108</v>
      </c>
      <c r="G69" s="70"/>
      <c r="H69" s="73" t="s">
        <v>6</v>
      </c>
      <c r="I69" s="107" t="s">
        <v>7</v>
      </c>
      <c r="J69" s="107" t="s">
        <v>8</v>
      </c>
      <c r="K69" s="107" t="s">
        <v>7</v>
      </c>
      <c r="L69" s="158" t="s">
        <v>444</v>
      </c>
      <c r="M69" s="99" t="s">
        <v>29</v>
      </c>
      <c r="N69" s="99" t="s">
        <v>29</v>
      </c>
      <c r="O69" s="139">
        <v>254.27</v>
      </c>
      <c r="P69" s="74"/>
      <c r="Q69" s="253"/>
      <c r="R69" s="139"/>
      <c r="S69" s="140">
        <v>58.46</v>
      </c>
      <c r="T69" s="143">
        <v>73.75</v>
      </c>
      <c r="U69" s="139">
        <v>122.06</v>
      </c>
      <c r="V69" s="157"/>
      <c r="W69" s="52" t="s">
        <v>1329</v>
      </c>
      <c r="X69" s="73" t="s">
        <v>19</v>
      </c>
      <c r="Y69" s="114" t="s">
        <v>249</v>
      </c>
      <c r="Z69" s="297"/>
      <c r="AA69" s="165" t="s">
        <v>1266</v>
      </c>
      <c r="AB69" s="165" t="s">
        <v>1209</v>
      </c>
      <c r="AC69" s="117" t="s">
        <v>10</v>
      </c>
      <c r="AD6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6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6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58.46</v>
      </c>
      <c r="AG6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73.75</v>
      </c>
      <c r="AH69"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122.06</v>
      </c>
      <c r="AI69"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69" s="10">
        <f t="shared" si="8"/>
        <v>132.21</v>
      </c>
      <c r="AK69" s="10">
        <f t="shared" ref="AK69" si="11">+SUM(AH69:AI69)</f>
        <v>122.06</v>
      </c>
      <c r="AL69" s="10">
        <f t="shared" si="9"/>
        <v>254.27</v>
      </c>
      <c r="AM69" s="6"/>
    </row>
    <row r="70" spans="1:39" s="49" customFormat="1" ht="31.5" customHeight="1">
      <c r="A70" s="69" t="s">
        <v>231</v>
      </c>
      <c r="B70" s="69" t="s">
        <v>360</v>
      </c>
      <c r="C70" s="70" t="s">
        <v>443</v>
      </c>
      <c r="D70" s="80"/>
      <c r="E70" s="71"/>
      <c r="F70" s="70" t="s">
        <v>1002</v>
      </c>
      <c r="G70" s="70"/>
      <c r="H70" s="73" t="s">
        <v>6</v>
      </c>
      <c r="I70" s="107" t="s">
        <v>7</v>
      </c>
      <c r="J70" s="107" t="s">
        <v>8</v>
      </c>
      <c r="K70" s="107" t="s">
        <v>7</v>
      </c>
      <c r="L70" s="73" t="s">
        <v>449</v>
      </c>
      <c r="M70" s="99" t="s">
        <v>29</v>
      </c>
      <c r="N70" s="99" t="s">
        <v>29</v>
      </c>
      <c r="O70" s="139">
        <v>1595</v>
      </c>
      <c r="P70" s="74"/>
      <c r="Q70" s="253"/>
      <c r="R70" s="139"/>
      <c r="S70" s="140">
        <v>366.84</v>
      </c>
      <c r="T70" s="143">
        <v>462.53</v>
      </c>
      <c r="U70" s="139">
        <v>765.57</v>
      </c>
      <c r="V70" s="157"/>
      <c r="W70" s="52" t="s">
        <v>1329</v>
      </c>
      <c r="X70" s="73" t="s">
        <v>19</v>
      </c>
      <c r="Y70" s="114" t="s">
        <v>249</v>
      </c>
      <c r="Z70" s="297"/>
      <c r="AA70" s="165" t="s">
        <v>1266</v>
      </c>
      <c r="AB70" s="165" t="s">
        <v>1209</v>
      </c>
      <c r="AC70" s="117"/>
      <c r="AD7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7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7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366.84</v>
      </c>
      <c r="AG7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462.53</v>
      </c>
      <c r="AH70"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765.57</v>
      </c>
      <c r="AI70"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70" s="10">
        <f t="shared" si="8"/>
        <v>829.36999999999989</v>
      </c>
      <c r="AK70" s="10">
        <f>+SUM(AH70:AI70)</f>
        <v>765.57</v>
      </c>
      <c r="AL70" s="10">
        <f t="shared" si="9"/>
        <v>1594.94</v>
      </c>
    </row>
    <row r="71" spans="1:39" s="49" customFormat="1" ht="31.5" customHeight="1">
      <c r="A71" s="21" t="s">
        <v>231</v>
      </c>
      <c r="B71" s="21" t="s">
        <v>360</v>
      </c>
      <c r="C71" s="126" t="s">
        <v>443</v>
      </c>
      <c r="D71" s="26"/>
      <c r="E71" s="27"/>
      <c r="F71" s="126" t="s">
        <v>1094</v>
      </c>
      <c r="G71" s="126" t="s">
        <v>588</v>
      </c>
      <c r="H71" s="1" t="s">
        <v>14</v>
      </c>
      <c r="I71" s="108" t="s">
        <v>7</v>
      </c>
      <c r="J71" s="108" t="s">
        <v>8</v>
      </c>
      <c r="K71" s="108" t="s">
        <v>7</v>
      </c>
      <c r="L71" s="97" t="s">
        <v>449</v>
      </c>
      <c r="M71" s="1" t="s">
        <v>27</v>
      </c>
      <c r="N71" s="1" t="s">
        <v>27</v>
      </c>
      <c r="O71" s="104"/>
      <c r="P71" s="29"/>
      <c r="Q71" s="251"/>
      <c r="R71" s="104"/>
      <c r="S71" s="104"/>
      <c r="T71" s="104"/>
      <c r="U71" s="104"/>
      <c r="V71" s="104"/>
      <c r="W71" s="1" t="s">
        <v>1329</v>
      </c>
      <c r="X71" s="120"/>
      <c r="Y71" s="88"/>
      <c r="Z71" s="316" t="s">
        <v>1064</v>
      </c>
      <c r="AA71" s="165" t="s">
        <v>1266</v>
      </c>
      <c r="AB71" s="165" t="s">
        <v>1209</v>
      </c>
      <c r="AC71" s="117"/>
      <c r="AD7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7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7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7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71"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71"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71" s="10">
        <f t="shared" si="8"/>
        <v>0</v>
      </c>
      <c r="AK71" s="10">
        <f t="shared" ref="AK71:AK75" si="12">+SUM(AH71:AI71)</f>
        <v>0</v>
      </c>
      <c r="AL71" s="10">
        <f t="shared" si="9"/>
        <v>0</v>
      </c>
    </row>
    <row r="72" spans="1:39" s="49" customFormat="1" ht="31.5" customHeight="1">
      <c r="A72" s="21" t="s">
        <v>231</v>
      </c>
      <c r="B72" s="21" t="s">
        <v>360</v>
      </c>
      <c r="C72" s="126" t="s">
        <v>443</v>
      </c>
      <c r="D72" s="26"/>
      <c r="E72" s="27"/>
      <c r="F72" s="126" t="s">
        <v>1095</v>
      </c>
      <c r="G72" s="126"/>
      <c r="H72" s="1" t="s">
        <v>17</v>
      </c>
      <c r="I72" s="108" t="s">
        <v>7</v>
      </c>
      <c r="J72" s="108" t="s">
        <v>8</v>
      </c>
      <c r="K72" s="1" t="s">
        <v>7</v>
      </c>
      <c r="L72" s="51" t="s">
        <v>444</v>
      </c>
      <c r="M72" s="1" t="s">
        <v>27</v>
      </c>
      <c r="N72" s="1" t="s">
        <v>27</v>
      </c>
      <c r="O72" s="104"/>
      <c r="P72" s="29"/>
      <c r="Q72" s="251"/>
      <c r="R72" s="104"/>
      <c r="S72" s="104"/>
      <c r="T72" s="104"/>
      <c r="U72" s="104"/>
      <c r="V72" s="104"/>
      <c r="W72" s="1" t="s">
        <v>1329</v>
      </c>
      <c r="X72" s="120"/>
      <c r="Y72" s="88"/>
      <c r="Z72" s="316" t="s">
        <v>1064</v>
      </c>
      <c r="AA72" s="165" t="s">
        <v>1266</v>
      </c>
      <c r="AB72" s="221" t="s">
        <v>1269</v>
      </c>
      <c r="AC72" s="117" t="s">
        <v>10</v>
      </c>
      <c r="AD7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7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7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7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72"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72"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72" s="10">
        <f t="shared" si="8"/>
        <v>0</v>
      </c>
      <c r="AK72" s="10">
        <f t="shared" si="12"/>
        <v>0</v>
      </c>
      <c r="AL72" s="10">
        <f t="shared" si="9"/>
        <v>0</v>
      </c>
    </row>
    <row r="73" spans="1:39" s="49" customFormat="1" ht="31.5" customHeight="1">
      <c r="A73" s="21" t="s">
        <v>231</v>
      </c>
      <c r="B73" s="21" t="s">
        <v>360</v>
      </c>
      <c r="C73" s="126" t="s">
        <v>443</v>
      </c>
      <c r="D73" s="26"/>
      <c r="E73" s="27"/>
      <c r="F73" s="126" t="s">
        <v>1096</v>
      </c>
      <c r="G73" s="126"/>
      <c r="H73" s="1" t="s">
        <v>17</v>
      </c>
      <c r="I73" s="108" t="s">
        <v>7</v>
      </c>
      <c r="J73" s="108" t="s">
        <v>8</v>
      </c>
      <c r="K73" s="1" t="s">
        <v>7</v>
      </c>
      <c r="L73" s="51" t="s">
        <v>444</v>
      </c>
      <c r="M73" s="1" t="s">
        <v>27</v>
      </c>
      <c r="N73" s="1" t="s">
        <v>27</v>
      </c>
      <c r="O73" s="104"/>
      <c r="P73" s="29"/>
      <c r="Q73" s="251"/>
      <c r="R73" s="104"/>
      <c r="S73" s="104"/>
      <c r="T73" s="104"/>
      <c r="U73" s="104"/>
      <c r="V73" s="104"/>
      <c r="W73" s="1" t="s">
        <v>1329</v>
      </c>
      <c r="X73" s="120"/>
      <c r="Y73" s="88"/>
      <c r="Z73" s="316" t="s">
        <v>1064</v>
      </c>
      <c r="AA73" s="165" t="s">
        <v>1266</v>
      </c>
      <c r="AB73" s="221" t="s">
        <v>1270</v>
      </c>
      <c r="AC73" s="117"/>
      <c r="AD7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7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7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7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73"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73"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73" s="10">
        <f t="shared" si="8"/>
        <v>0</v>
      </c>
      <c r="AK73" s="10">
        <f t="shared" si="12"/>
        <v>0</v>
      </c>
      <c r="AL73" s="10">
        <f t="shared" si="9"/>
        <v>0</v>
      </c>
    </row>
    <row r="74" spans="1:39" s="49" customFormat="1" ht="31.5" customHeight="1">
      <c r="A74" s="21" t="s">
        <v>231</v>
      </c>
      <c r="B74" s="21" t="s">
        <v>360</v>
      </c>
      <c r="C74" s="126" t="s">
        <v>443</v>
      </c>
      <c r="D74" s="26"/>
      <c r="E74" s="27"/>
      <c r="F74" s="129" t="s">
        <v>1097</v>
      </c>
      <c r="G74" s="21"/>
      <c r="H74" s="1" t="s">
        <v>22</v>
      </c>
      <c r="I74" s="1" t="s">
        <v>7</v>
      </c>
      <c r="J74" s="1" t="s">
        <v>8</v>
      </c>
      <c r="K74" s="1" t="s">
        <v>7</v>
      </c>
      <c r="L74" s="51" t="s">
        <v>444</v>
      </c>
      <c r="M74" s="1" t="s">
        <v>27</v>
      </c>
      <c r="N74" s="1" t="s">
        <v>27</v>
      </c>
      <c r="O74" s="104"/>
      <c r="P74" s="29"/>
      <c r="Q74" s="251"/>
      <c r="R74" s="104"/>
      <c r="S74" s="104"/>
      <c r="T74" s="104"/>
      <c r="U74" s="104"/>
      <c r="V74" s="104"/>
      <c r="W74" s="1" t="s">
        <v>1329</v>
      </c>
      <c r="X74" s="120"/>
      <c r="Y74" s="88"/>
      <c r="Z74" s="316" t="s">
        <v>1064</v>
      </c>
      <c r="AA74" s="165" t="s">
        <v>1266</v>
      </c>
      <c r="AB74" s="221" t="s">
        <v>1271</v>
      </c>
      <c r="AC74" s="117"/>
      <c r="AD7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7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7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7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74"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74"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74" s="10">
        <f t="shared" si="8"/>
        <v>0</v>
      </c>
      <c r="AK74" s="10">
        <f t="shared" si="12"/>
        <v>0</v>
      </c>
      <c r="AL74" s="10">
        <f t="shared" si="9"/>
        <v>0</v>
      </c>
    </row>
    <row r="75" spans="1:39" s="49" customFormat="1" ht="31.5" customHeight="1">
      <c r="A75" s="21" t="s">
        <v>231</v>
      </c>
      <c r="B75" s="21" t="s">
        <v>360</v>
      </c>
      <c r="C75" s="126" t="s">
        <v>443</v>
      </c>
      <c r="D75" s="26"/>
      <c r="E75" s="27"/>
      <c r="F75" s="129" t="s">
        <v>1098</v>
      </c>
      <c r="G75" s="21"/>
      <c r="H75" s="1" t="s">
        <v>14</v>
      </c>
      <c r="I75" s="1" t="s">
        <v>7</v>
      </c>
      <c r="J75" s="1" t="s">
        <v>8</v>
      </c>
      <c r="K75" s="1" t="s">
        <v>7</v>
      </c>
      <c r="L75" s="51" t="s">
        <v>444</v>
      </c>
      <c r="M75" s="1" t="s">
        <v>27</v>
      </c>
      <c r="N75" s="1" t="s">
        <v>27</v>
      </c>
      <c r="O75" s="104"/>
      <c r="P75" s="29"/>
      <c r="Q75" s="251"/>
      <c r="R75" s="104"/>
      <c r="S75" s="104"/>
      <c r="T75" s="104"/>
      <c r="U75" s="104"/>
      <c r="V75" s="104"/>
      <c r="W75" s="1" t="s">
        <v>1329</v>
      </c>
      <c r="X75" s="120"/>
      <c r="Y75" s="88"/>
      <c r="Z75" s="316" t="s">
        <v>1064</v>
      </c>
      <c r="AA75" s="165" t="s">
        <v>1266</v>
      </c>
      <c r="AB75" s="221" t="s">
        <v>1272</v>
      </c>
      <c r="AC75" s="117" t="s">
        <v>10</v>
      </c>
      <c r="AD7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7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7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7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75"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75"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75" s="10">
        <f t="shared" si="8"/>
        <v>0</v>
      </c>
      <c r="AK75" s="10">
        <f t="shared" si="12"/>
        <v>0</v>
      </c>
      <c r="AL75" s="10">
        <f t="shared" si="9"/>
        <v>0</v>
      </c>
    </row>
    <row r="76" spans="1:39" s="49" customFormat="1" ht="31.5" customHeight="1">
      <c r="A76" s="69" t="s">
        <v>231</v>
      </c>
      <c r="B76" s="69" t="s">
        <v>360</v>
      </c>
      <c r="C76" s="70" t="s">
        <v>434</v>
      </c>
      <c r="D76" s="80"/>
      <c r="E76" s="71"/>
      <c r="F76" s="70" t="s">
        <v>1001</v>
      </c>
      <c r="G76" s="70"/>
      <c r="H76" s="73" t="s">
        <v>382</v>
      </c>
      <c r="I76" s="107" t="s">
        <v>7</v>
      </c>
      <c r="J76" s="107" t="s">
        <v>8</v>
      </c>
      <c r="K76" s="107" t="s">
        <v>7</v>
      </c>
      <c r="L76" s="73" t="s">
        <v>444</v>
      </c>
      <c r="M76" s="99" t="s">
        <v>29</v>
      </c>
      <c r="N76" s="99" t="s">
        <v>29</v>
      </c>
      <c r="O76" s="139">
        <v>2900</v>
      </c>
      <c r="P76" s="74"/>
      <c r="Q76" s="253"/>
      <c r="R76" s="139"/>
      <c r="S76" s="140">
        <v>82.5</v>
      </c>
      <c r="T76" s="143">
        <v>85</v>
      </c>
      <c r="U76" s="139">
        <v>2013.5</v>
      </c>
      <c r="V76" s="157">
        <v>719</v>
      </c>
      <c r="W76" s="52" t="s">
        <v>1329</v>
      </c>
      <c r="X76" s="73" t="s">
        <v>19</v>
      </c>
      <c r="Y76" s="114" t="s">
        <v>249</v>
      </c>
      <c r="Z76" s="297"/>
      <c r="AA76" s="165" t="s">
        <v>1266</v>
      </c>
      <c r="AB76" s="165" t="s">
        <v>1209</v>
      </c>
      <c r="AC76" s="117"/>
      <c r="AD7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7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7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82.5</v>
      </c>
      <c r="AG7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85</v>
      </c>
      <c r="AH76"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2013.5</v>
      </c>
      <c r="AI76"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719</v>
      </c>
      <c r="AJ76" s="10">
        <f t="shared" si="8"/>
        <v>167.5</v>
      </c>
      <c r="AK76" s="10">
        <f t="shared" ref="AK76:AK146" si="13">+SUM(AH76:AI76)</f>
        <v>2732.5</v>
      </c>
      <c r="AL76" s="10">
        <f t="shared" si="9"/>
        <v>2900</v>
      </c>
    </row>
    <row r="77" spans="1:39" ht="31.5" customHeight="1">
      <c r="A77" s="21" t="s">
        <v>231</v>
      </c>
      <c r="B77" s="21" t="s">
        <v>360</v>
      </c>
      <c r="C77" s="126" t="s">
        <v>434</v>
      </c>
      <c r="D77" s="129"/>
      <c r="E77" s="27"/>
      <c r="F77" s="126" t="s">
        <v>620</v>
      </c>
      <c r="G77" s="126" t="s">
        <v>621</v>
      </c>
      <c r="H77" s="1" t="s">
        <v>382</v>
      </c>
      <c r="I77" s="108" t="s">
        <v>7</v>
      </c>
      <c r="J77" s="108" t="s">
        <v>8</v>
      </c>
      <c r="K77" s="108" t="s">
        <v>7</v>
      </c>
      <c r="L77" s="97" t="s">
        <v>444</v>
      </c>
      <c r="M77" s="108">
        <v>2014</v>
      </c>
      <c r="N77" s="155">
        <v>2018</v>
      </c>
      <c r="O77" s="142"/>
      <c r="P77" s="127"/>
      <c r="Q77" s="254"/>
      <c r="R77" s="141"/>
      <c r="S77" s="141"/>
      <c r="T77" s="141"/>
      <c r="U77" s="142"/>
      <c r="V77" s="142"/>
      <c r="W77" s="1" t="s">
        <v>1329</v>
      </c>
      <c r="X77" s="108"/>
      <c r="Y77" s="108"/>
      <c r="Z77" s="296" t="s">
        <v>1087</v>
      </c>
      <c r="AA77" s="165" t="s">
        <v>1266</v>
      </c>
      <c r="AB77" s="165" t="s">
        <v>1209</v>
      </c>
      <c r="AC77" s="117"/>
      <c r="AD7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7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7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7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77"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77"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77" s="10">
        <f t="shared" si="8"/>
        <v>0</v>
      </c>
      <c r="AK77" s="10">
        <f t="shared" si="13"/>
        <v>0</v>
      </c>
      <c r="AL77" s="10">
        <f t="shared" si="9"/>
        <v>0</v>
      </c>
      <c r="AM77" s="6"/>
    </row>
    <row r="78" spans="1:39" ht="31.5" customHeight="1">
      <c r="A78" s="21" t="s">
        <v>231</v>
      </c>
      <c r="B78" s="21" t="s">
        <v>360</v>
      </c>
      <c r="C78" s="126" t="s">
        <v>434</v>
      </c>
      <c r="D78" s="129"/>
      <c r="E78" s="27"/>
      <c r="F78" s="126" t="s">
        <v>622</v>
      </c>
      <c r="G78" s="126" t="s">
        <v>623</v>
      </c>
      <c r="H78" s="1" t="s">
        <v>382</v>
      </c>
      <c r="I78" s="108" t="s">
        <v>7</v>
      </c>
      <c r="J78" s="108" t="s">
        <v>8</v>
      </c>
      <c r="K78" s="108" t="s">
        <v>7</v>
      </c>
      <c r="L78" s="97" t="s">
        <v>444</v>
      </c>
      <c r="M78" s="108">
        <v>2019</v>
      </c>
      <c r="N78" s="155">
        <v>2023</v>
      </c>
      <c r="O78" s="142"/>
      <c r="P78" s="127"/>
      <c r="Q78" s="254"/>
      <c r="R78" s="141"/>
      <c r="S78" s="141"/>
      <c r="T78" s="141"/>
      <c r="U78" s="142"/>
      <c r="V78" s="142"/>
      <c r="W78" s="1" t="s">
        <v>1329</v>
      </c>
      <c r="X78" s="108"/>
      <c r="Y78" s="108"/>
      <c r="Z78" s="296" t="s">
        <v>1087</v>
      </c>
      <c r="AA78" s="165" t="s">
        <v>1266</v>
      </c>
      <c r="AB78" s="165" t="s">
        <v>1209</v>
      </c>
      <c r="AC78" s="117"/>
      <c r="AD7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7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7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7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78"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78"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78" s="10">
        <f t="shared" si="8"/>
        <v>0</v>
      </c>
      <c r="AK78" s="10">
        <f t="shared" si="13"/>
        <v>0</v>
      </c>
      <c r="AL78" s="10">
        <f t="shared" si="9"/>
        <v>0</v>
      </c>
      <c r="AM78" s="6"/>
    </row>
    <row r="79" spans="1:39" ht="31.5" customHeight="1">
      <c r="A79" s="21" t="s">
        <v>231</v>
      </c>
      <c r="B79" s="21" t="s">
        <v>360</v>
      </c>
      <c r="C79" s="126" t="s">
        <v>434</v>
      </c>
      <c r="D79" s="129"/>
      <c r="E79" s="27"/>
      <c r="F79" s="126" t="s">
        <v>622</v>
      </c>
      <c r="G79" s="126" t="s">
        <v>623</v>
      </c>
      <c r="H79" s="1" t="s">
        <v>382</v>
      </c>
      <c r="I79" s="108" t="s">
        <v>7</v>
      </c>
      <c r="J79" s="108" t="s">
        <v>8</v>
      </c>
      <c r="K79" s="108" t="s">
        <v>7</v>
      </c>
      <c r="L79" s="97" t="s">
        <v>444</v>
      </c>
      <c r="M79" s="108">
        <v>2014</v>
      </c>
      <c r="N79" s="155">
        <v>2018</v>
      </c>
      <c r="O79" s="142"/>
      <c r="P79" s="127"/>
      <c r="Q79" s="254"/>
      <c r="R79" s="141"/>
      <c r="S79" s="141"/>
      <c r="T79" s="141"/>
      <c r="U79" s="142"/>
      <c r="V79" s="142"/>
      <c r="W79" s="1" t="s">
        <v>1329</v>
      </c>
      <c r="X79" s="108"/>
      <c r="Y79" s="108"/>
      <c r="Z79" s="296" t="s">
        <v>1087</v>
      </c>
      <c r="AA79" s="165" t="s">
        <v>1266</v>
      </c>
      <c r="AB79" s="165" t="s">
        <v>1209</v>
      </c>
      <c r="AC79" s="117"/>
      <c r="AD7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7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7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7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79"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79"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79" s="10">
        <f t="shared" si="8"/>
        <v>0</v>
      </c>
      <c r="AK79" s="10">
        <f t="shared" si="13"/>
        <v>0</v>
      </c>
      <c r="AL79" s="10">
        <f t="shared" si="9"/>
        <v>0</v>
      </c>
      <c r="AM79" s="6"/>
    </row>
    <row r="80" spans="1:39" ht="31.5" customHeight="1">
      <c r="A80" s="21" t="s">
        <v>231</v>
      </c>
      <c r="B80" s="21" t="s">
        <v>360</v>
      </c>
      <c r="C80" s="126" t="s">
        <v>434</v>
      </c>
      <c r="D80" s="129"/>
      <c r="E80" s="27"/>
      <c r="F80" s="126" t="s">
        <v>624</v>
      </c>
      <c r="G80" s="126" t="s">
        <v>625</v>
      </c>
      <c r="H80" s="1" t="s">
        <v>382</v>
      </c>
      <c r="I80" s="108" t="s">
        <v>7</v>
      </c>
      <c r="J80" s="108" t="s">
        <v>8</v>
      </c>
      <c r="K80" s="108" t="s">
        <v>7</v>
      </c>
      <c r="L80" s="97" t="s">
        <v>444</v>
      </c>
      <c r="M80" s="108">
        <v>2015</v>
      </c>
      <c r="N80" s="155">
        <v>2019</v>
      </c>
      <c r="O80" s="142"/>
      <c r="P80" s="127"/>
      <c r="Q80" s="254"/>
      <c r="R80" s="141"/>
      <c r="S80" s="141"/>
      <c r="T80" s="141"/>
      <c r="U80" s="142"/>
      <c r="V80" s="142"/>
      <c r="W80" s="1" t="s">
        <v>1329</v>
      </c>
      <c r="X80" s="108"/>
      <c r="Y80" s="108"/>
      <c r="Z80" s="296" t="s">
        <v>1087</v>
      </c>
      <c r="AA80" s="165" t="s">
        <v>1266</v>
      </c>
      <c r="AB80" s="165" t="s">
        <v>1209</v>
      </c>
      <c r="AC80" s="117"/>
      <c r="AD8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8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8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8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80"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80"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80" s="10">
        <f t="shared" si="8"/>
        <v>0</v>
      </c>
      <c r="AK80" s="10">
        <f t="shared" si="13"/>
        <v>0</v>
      </c>
      <c r="AL80" s="10">
        <f t="shared" si="9"/>
        <v>0</v>
      </c>
      <c r="AM80" s="6"/>
    </row>
    <row r="81" spans="1:39" ht="31.5" customHeight="1">
      <c r="A81" s="21" t="s">
        <v>231</v>
      </c>
      <c r="B81" s="21" t="s">
        <v>360</v>
      </c>
      <c r="C81" s="126" t="s">
        <v>434</v>
      </c>
      <c r="D81" s="129"/>
      <c r="E81" s="27"/>
      <c r="F81" s="126" t="s">
        <v>626</v>
      </c>
      <c r="G81" s="126" t="s">
        <v>627</v>
      </c>
      <c r="H81" s="1" t="s">
        <v>382</v>
      </c>
      <c r="I81" s="108" t="s">
        <v>7</v>
      </c>
      <c r="J81" s="108" t="s">
        <v>8</v>
      </c>
      <c r="K81" s="108" t="s">
        <v>7</v>
      </c>
      <c r="L81" s="97" t="s">
        <v>444</v>
      </c>
      <c r="M81" s="108">
        <v>2017</v>
      </c>
      <c r="N81" s="155">
        <v>2021</v>
      </c>
      <c r="O81" s="142"/>
      <c r="P81" s="127"/>
      <c r="Q81" s="254"/>
      <c r="R81" s="141"/>
      <c r="S81" s="141"/>
      <c r="T81" s="141"/>
      <c r="U81" s="142"/>
      <c r="V81" s="142"/>
      <c r="W81" s="1" t="s">
        <v>1329</v>
      </c>
      <c r="X81" s="108"/>
      <c r="Y81" s="108"/>
      <c r="Z81" s="296" t="s">
        <v>1087</v>
      </c>
      <c r="AA81" s="165" t="s">
        <v>1266</v>
      </c>
      <c r="AB81" s="165" t="s">
        <v>1209</v>
      </c>
      <c r="AC81" s="117"/>
      <c r="AD8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8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8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8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81"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81"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81" s="10">
        <f t="shared" si="8"/>
        <v>0</v>
      </c>
      <c r="AK81" s="10">
        <f t="shared" si="13"/>
        <v>0</v>
      </c>
      <c r="AL81" s="10">
        <f t="shared" si="9"/>
        <v>0</v>
      </c>
      <c r="AM81" s="6"/>
    </row>
    <row r="82" spans="1:39" ht="31.5" customHeight="1">
      <c r="A82" s="21" t="s">
        <v>231</v>
      </c>
      <c r="B82" s="21" t="s">
        <v>360</v>
      </c>
      <c r="C82" s="126" t="s">
        <v>434</v>
      </c>
      <c r="D82" s="129"/>
      <c r="E82" s="27"/>
      <c r="F82" s="126" t="s">
        <v>626</v>
      </c>
      <c r="G82" s="126" t="s">
        <v>628</v>
      </c>
      <c r="H82" s="1" t="s">
        <v>382</v>
      </c>
      <c r="I82" s="108" t="s">
        <v>7</v>
      </c>
      <c r="J82" s="108" t="s">
        <v>8</v>
      </c>
      <c r="K82" s="108" t="s">
        <v>7</v>
      </c>
      <c r="L82" s="97" t="s">
        <v>444</v>
      </c>
      <c r="M82" s="108">
        <v>2015</v>
      </c>
      <c r="N82" s="155">
        <v>2019</v>
      </c>
      <c r="O82" s="142"/>
      <c r="P82" s="127"/>
      <c r="Q82" s="254"/>
      <c r="R82" s="141"/>
      <c r="S82" s="141"/>
      <c r="T82" s="141"/>
      <c r="U82" s="142"/>
      <c r="V82" s="142"/>
      <c r="W82" s="1" t="s">
        <v>1329</v>
      </c>
      <c r="X82" s="108"/>
      <c r="Y82" s="108"/>
      <c r="Z82" s="296" t="s">
        <v>1087</v>
      </c>
      <c r="AA82" s="165" t="s">
        <v>1266</v>
      </c>
      <c r="AB82" s="165" t="s">
        <v>1209</v>
      </c>
      <c r="AC82" s="117"/>
      <c r="AD8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8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8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8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82"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82"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82" s="10">
        <f t="shared" si="8"/>
        <v>0</v>
      </c>
      <c r="AK82" s="10">
        <f t="shared" si="13"/>
        <v>0</v>
      </c>
      <c r="AL82" s="10">
        <f t="shared" si="9"/>
        <v>0</v>
      </c>
      <c r="AM82" s="6"/>
    </row>
    <row r="83" spans="1:39" s="49" customFormat="1" ht="31.5" customHeight="1">
      <c r="A83" s="69" t="s">
        <v>231</v>
      </c>
      <c r="B83" s="69" t="s">
        <v>360</v>
      </c>
      <c r="C83" s="70" t="s">
        <v>439</v>
      </c>
      <c r="D83" s="80"/>
      <c r="E83" s="71"/>
      <c r="F83" s="70" t="s">
        <v>1241</v>
      </c>
      <c r="G83" s="70"/>
      <c r="H83" s="64" t="s">
        <v>39</v>
      </c>
      <c r="I83" s="107" t="s">
        <v>7</v>
      </c>
      <c r="J83" s="107" t="s">
        <v>8</v>
      </c>
      <c r="K83" s="107" t="s">
        <v>7</v>
      </c>
      <c r="L83" s="73" t="s">
        <v>444</v>
      </c>
      <c r="M83" s="99" t="s">
        <v>29</v>
      </c>
      <c r="N83" s="99" t="s">
        <v>29</v>
      </c>
      <c r="O83" s="139">
        <v>31510.83</v>
      </c>
      <c r="P83" s="74"/>
      <c r="Q83" s="253"/>
      <c r="R83" s="139"/>
      <c r="S83" s="140"/>
      <c r="T83" s="143"/>
      <c r="U83" s="139"/>
      <c r="V83" s="157">
        <v>31510.83</v>
      </c>
      <c r="W83" s="52" t="s">
        <v>1329</v>
      </c>
      <c r="X83" s="73" t="s">
        <v>19</v>
      </c>
      <c r="Y83" s="114" t="s">
        <v>249</v>
      </c>
      <c r="Z83" s="297"/>
      <c r="AA83" s="165" t="s">
        <v>1266</v>
      </c>
      <c r="AB83" s="165" t="s">
        <v>1209</v>
      </c>
      <c r="AC83" s="117"/>
      <c r="AD8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8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8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8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83"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83"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31510.83</v>
      </c>
      <c r="AJ83" s="10">
        <f t="shared" si="8"/>
        <v>0</v>
      </c>
      <c r="AK83" s="10">
        <f t="shared" si="13"/>
        <v>31510.83</v>
      </c>
      <c r="AL83" s="10">
        <f t="shared" si="9"/>
        <v>31510.83</v>
      </c>
    </row>
    <row r="84" spans="1:39" ht="31.5" customHeight="1">
      <c r="A84" s="21" t="s">
        <v>231</v>
      </c>
      <c r="B84" s="21" t="s">
        <v>360</v>
      </c>
      <c r="C84" s="181" t="s">
        <v>439</v>
      </c>
      <c r="D84" s="79"/>
      <c r="E84" s="27"/>
      <c r="F84" s="181" t="s">
        <v>558</v>
      </c>
      <c r="G84" s="126" t="s">
        <v>559</v>
      </c>
      <c r="H84" s="78" t="s">
        <v>16</v>
      </c>
      <c r="I84" s="108" t="s">
        <v>7</v>
      </c>
      <c r="J84" s="108" t="s">
        <v>8</v>
      </c>
      <c r="K84" s="108" t="s">
        <v>7</v>
      </c>
      <c r="L84" s="78" t="s">
        <v>449</v>
      </c>
      <c r="M84" s="55">
        <v>2015</v>
      </c>
      <c r="N84" s="55">
        <v>2023</v>
      </c>
      <c r="O84" s="182">
        <v>16000</v>
      </c>
      <c r="P84" s="29"/>
      <c r="Q84" s="255"/>
      <c r="R84" s="182"/>
      <c r="S84" s="183"/>
      <c r="T84" s="141">
        <v>1000</v>
      </c>
      <c r="U84" s="182">
        <v>8000</v>
      </c>
      <c r="V84" s="104">
        <v>7000</v>
      </c>
      <c r="W84" s="1" t="s">
        <v>1329</v>
      </c>
      <c r="X84" s="78" t="s">
        <v>19</v>
      </c>
      <c r="Y84" s="184" t="s">
        <v>249</v>
      </c>
      <c r="Z84" s="316" t="s">
        <v>1263</v>
      </c>
      <c r="AA84" s="165" t="s">
        <v>1253</v>
      </c>
      <c r="AB84" s="165" t="s">
        <v>1240</v>
      </c>
      <c r="AC84" s="117" t="s">
        <v>10</v>
      </c>
      <c r="AD8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8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8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8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1000</v>
      </c>
      <c r="AH84"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8000</v>
      </c>
      <c r="AI84"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7000</v>
      </c>
      <c r="AJ84" s="10">
        <f t="shared" si="8"/>
        <v>1000</v>
      </c>
      <c r="AK84" s="10">
        <f>+SUM(AH84:AI84)</f>
        <v>15000</v>
      </c>
      <c r="AL84" s="10">
        <f t="shared" si="9"/>
        <v>16000</v>
      </c>
      <c r="AM84" s="6"/>
    </row>
    <row r="85" spans="1:39" ht="31.5" customHeight="1">
      <c r="A85" s="21" t="s">
        <v>231</v>
      </c>
      <c r="B85" s="21" t="s">
        <v>360</v>
      </c>
      <c r="C85" s="126" t="s">
        <v>439</v>
      </c>
      <c r="D85" s="129"/>
      <c r="E85" s="27"/>
      <c r="F85" s="126" t="s">
        <v>565</v>
      </c>
      <c r="G85" s="126" t="s">
        <v>566</v>
      </c>
      <c r="H85" s="1" t="s">
        <v>21</v>
      </c>
      <c r="I85" s="108" t="s">
        <v>7</v>
      </c>
      <c r="J85" s="108" t="s">
        <v>8</v>
      </c>
      <c r="K85" s="108" t="s">
        <v>7</v>
      </c>
      <c r="L85" s="97" t="s">
        <v>444</v>
      </c>
      <c r="M85" s="108">
        <v>2018</v>
      </c>
      <c r="N85" s="155">
        <v>2024</v>
      </c>
      <c r="O85" s="142"/>
      <c r="P85" s="127"/>
      <c r="Q85" s="254"/>
      <c r="R85" s="141"/>
      <c r="S85" s="141"/>
      <c r="T85" s="141"/>
      <c r="U85" s="142"/>
      <c r="V85" s="142"/>
      <c r="W85" s="1" t="s">
        <v>1329</v>
      </c>
      <c r="X85" s="108"/>
      <c r="Y85" s="108"/>
      <c r="Z85" s="296" t="s">
        <v>1087</v>
      </c>
      <c r="AA85" s="165" t="s">
        <v>1266</v>
      </c>
      <c r="AB85" s="165" t="s">
        <v>1209</v>
      </c>
      <c r="AC85" s="117"/>
      <c r="AD8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8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8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8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85"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85"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85" s="10">
        <f t="shared" si="8"/>
        <v>0</v>
      </c>
      <c r="AK85" s="10">
        <f t="shared" si="13"/>
        <v>0</v>
      </c>
      <c r="AL85" s="10">
        <f t="shared" si="9"/>
        <v>0</v>
      </c>
      <c r="AM85" s="6"/>
    </row>
    <row r="86" spans="1:39" ht="31.5" customHeight="1">
      <c r="A86" s="21" t="s">
        <v>231</v>
      </c>
      <c r="B86" s="21" t="s">
        <v>360</v>
      </c>
      <c r="C86" s="126" t="s">
        <v>439</v>
      </c>
      <c r="D86" s="129"/>
      <c r="E86" s="27"/>
      <c r="F86" s="126" t="s">
        <v>560</v>
      </c>
      <c r="G86" s="126" t="s">
        <v>561</v>
      </c>
      <c r="H86" s="1" t="s">
        <v>16</v>
      </c>
      <c r="I86" s="108" t="s">
        <v>7</v>
      </c>
      <c r="J86" s="108" t="s">
        <v>8</v>
      </c>
      <c r="K86" s="108" t="s">
        <v>7</v>
      </c>
      <c r="L86" s="97" t="s">
        <v>444</v>
      </c>
      <c r="M86" s="108">
        <v>2021</v>
      </c>
      <c r="N86" s="155">
        <v>2026</v>
      </c>
      <c r="O86" s="142"/>
      <c r="P86" s="127"/>
      <c r="Q86" s="254"/>
      <c r="R86" s="141"/>
      <c r="S86" s="141"/>
      <c r="T86" s="141"/>
      <c r="U86" s="142"/>
      <c r="V86" s="142"/>
      <c r="W86" s="1" t="s">
        <v>1329</v>
      </c>
      <c r="X86" s="108"/>
      <c r="Y86" s="108"/>
      <c r="Z86" s="296" t="s">
        <v>1087</v>
      </c>
      <c r="AA86" s="165" t="s">
        <v>1266</v>
      </c>
      <c r="AB86" s="165" t="s">
        <v>1209</v>
      </c>
      <c r="AC86" s="117"/>
      <c r="AD8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8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8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8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86"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86"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86" s="10">
        <f t="shared" si="8"/>
        <v>0</v>
      </c>
      <c r="AK86" s="10">
        <f t="shared" si="13"/>
        <v>0</v>
      </c>
      <c r="AL86" s="10">
        <f t="shared" si="9"/>
        <v>0</v>
      </c>
      <c r="AM86" s="6"/>
    </row>
    <row r="87" spans="1:39" ht="31.5" customHeight="1">
      <c r="A87" s="21" t="s">
        <v>231</v>
      </c>
      <c r="B87" s="21" t="s">
        <v>360</v>
      </c>
      <c r="C87" s="126" t="s">
        <v>439</v>
      </c>
      <c r="D87" s="129"/>
      <c r="E87" s="27"/>
      <c r="F87" s="126" t="s">
        <v>562</v>
      </c>
      <c r="G87" s="126" t="s">
        <v>563</v>
      </c>
      <c r="H87" s="1" t="s">
        <v>26</v>
      </c>
      <c r="I87" s="108" t="s">
        <v>7</v>
      </c>
      <c r="J87" s="108" t="s">
        <v>8</v>
      </c>
      <c r="K87" s="108" t="s">
        <v>7</v>
      </c>
      <c r="L87" s="97" t="s">
        <v>444</v>
      </c>
      <c r="M87" s="108">
        <v>2020</v>
      </c>
      <c r="N87" s="155">
        <v>2025</v>
      </c>
      <c r="O87" s="142"/>
      <c r="P87" s="127"/>
      <c r="Q87" s="254"/>
      <c r="R87" s="141"/>
      <c r="S87" s="141"/>
      <c r="T87" s="141"/>
      <c r="U87" s="142"/>
      <c r="V87" s="142"/>
      <c r="W87" s="1" t="s">
        <v>1329</v>
      </c>
      <c r="X87" s="108"/>
      <c r="Y87" s="108"/>
      <c r="Z87" s="296" t="s">
        <v>1087</v>
      </c>
      <c r="AA87" s="165" t="s">
        <v>1266</v>
      </c>
      <c r="AB87" s="165" t="s">
        <v>1209</v>
      </c>
      <c r="AC87" s="117"/>
      <c r="AD8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8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8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8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87"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87"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87" s="10">
        <f t="shared" si="8"/>
        <v>0</v>
      </c>
      <c r="AK87" s="10">
        <f t="shared" si="13"/>
        <v>0</v>
      </c>
      <c r="AL87" s="10">
        <f t="shared" si="9"/>
        <v>0</v>
      </c>
      <c r="AM87" s="6"/>
    </row>
    <row r="88" spans="1:39" ht="31.5" customHeight="1">
      <c r="A88" s="21" t="s">
        <v>231</v>
      </c>
      <c r="B88" s="21" t="s">
        <v>360</v>
      </c>
      <c r="C88" s="126" t="s">
        <v>439</v>
      </c>
      <c r="D88" s="129"/>
      <c r="E88" s="27"/>
      <c r="F88" s="126" t="s">
        <v>1333</v>
      </c>
      <c r="G88" s="126" t="s">
        <v>564</v>
      </c>
      <c r="H88" s="1" t="s">
        <v>23</v>
      </c>
      <c r="I88" s="108" t="s">
        <v>7</v>
      </c>
      <c r="J88" s="108" t="s">
        <v>8</v>
      </c>
      <c r="K88" s="108" t="s">
        <v>7</v>
      </c>
      <c r="L88" s="97" t="s">
        <v>444</v>
      </c>
      <c r="M88" s="108">
        <v>2018</v>
      </c>
      <c r="N88" s="155">
        <v>2024</v>
      </c>
      <c r="O88" s="142">
        <v>15000</v>
      </c>
      <c r="P88" s="127"/>
      <c r="Q88" s="254"/>
      <c r="R88" s="141"/>
      <c r="S88" s="141"/>
      <c r="T88" s="141"/>
      <c r="U88" s="142">
        <v>5000</v>
      </c>
      <c r="V88" s="142">
        <v>10000</v>
      </c>
      <c r="W88" s="1" t="s">
        <v>1329</v>
      </c>
      <c r="X88" s="78" t="s">
        <v>19</v>
      </c>
      <c r="Y88" s="184" t="s">
        <v>249</v>
      </c>
      <c r="Z88" s="296" t="s">
        <v>1087</v>
      </c>
      <c r="AA88" s="165" t="s">
        <v>1266</v>
      </c>
      <c r="AB88" s="165" t="s">
        <v>1209</v>
      </c>
      <c r="AC88" s="117" t="s">
        <v>10</v>
      </c>
      <c r="AD8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8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8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8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88"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5000</v>
      </c>
      <c r="AI88"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10000</v>
      </c>
      <c r="AJ88" s="10">
        <f t="shared" si="8"/>
        <v>0</v>
      </c>
      <c r="AK88" s="10">
        <f t="shared" si="13"/>
        <v>15000</v>
      </c>
      <c r="AL88" s="10">
        <f t="shared" si="9"/>
        <v>15000</v>
      </c>
      <c r="AM88" s="6"/>
    </row>
    <row r="89" spans="1:39" s="49" customFormat="1" ht="31.5" customHeight="1">
      <c r="A89" s="68" t="s">
        <v>231</v>
      </c>
      <c r="B89" s="69" t="s">
        <v>360</v>
      </c>
      <c r="C89" s="70" t="s">
        <v>442</v>
      </c>
      <c r="D89" s="70" t="s">
        <v>1009</v>
      </c>
      <c r="E89" s="71"/>
      <c r="F89" s="70"/>
      <c r="G89" s="70"/>
      <c r="H89" s="73" t="s">
        <v>6</v>
      </c>
      <c r="I89" s="72" t="s">
        <v>7</v>
      </c>
      <c r="J89" s="72" t="s">
        <v>8</v>
      </c>
      <c r="K89" s="72" t="s">
        <v>7</v>
      </c>
      <c r="L89" s="73" t="s">
        <v>444</v>
      </c>
      <c r="M89" s="99" t="s">
        <v>29</v>
      </c>
      <c r="N89" s="99" t="s">
        <v>29</v>
      </c>
      <c r="O89" s="139">
        <v>3200</v>
      </c>
      <c r="P89" s="74"/>
      <c r="Q89" s="253"/>
      <c r="R89" s="139"/>
      <c r="S89" s="140">
        <v>533.33333333333326</v>
      </c>
      <c r="T89" s="144">
        <v>533.33333333333326</v>
      </c>
      <c r="U89" s="139">
        <v>2133.33</v>
      </c>
      <c r="V89" s="157"/>
      <c r="W89" s="52" t="s">
        <v>1329</v>
      </c>
      <c r="X89" s="122" t="s">
        <v>19</v>
      </c>
      <c r="Y89" s="115" t="s">
        <v>249</v>
      </c>
      <c r="Z89" s="297"/>
      <c r="AA89" s="165" t="s">
        <v>1266</v>
      </c>
      <c r="AB89" s="165" t="s">
        <v>1209</v>
      </c>
      <c r="AC89" s="117"/>
      <c r="AD8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8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8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533.33333333333326</v>
      </c>
      <c r="AG8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533.33333333333326</v>
      </c>
      <c r="AH89"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2133.33</v>
      </c>
      <c r="AI89"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89" s="32">
        <f t="shared" si="8"/>
        <v>1066.6666666666665</v>
      </c>
      <c r="AK89" s="32">
        <f t="shared" si="13"/>
        <v>2133.33</v>
      </c>
      <c r="AL89" s="32">
        <f t="shared" si="9"/>
        <v>3199.9966666666664</v>
      </c>
    </row>
    <row r="90" spans="1:39" s="49" customFormat="1" ht="31.5" customHeight="1">
      <c r="A90" s="68" t="s">
        <v>231</v>
      </c>
      <c r="B90" s="69" t="s">
        <v>360</v>
      </c>
      <c r="C90" s="70" t="s">
        <v>441</v>
      </c>
      <c r="D90" s="70" t="s">
        <v>1009</v>
      </c>
      <c r="E90" s="71"/>
      <c r="F90" s="70"/>
      <c r="G90" s="70"/>
      <c r="H90" s="73" t="s">
        <v>6</v>
      </c>
      <c r="I90" s="72" t="s">
        <v>7</v>
      </c>
      <c r="J90" s="72" t="s">
        <v>8</v>
      </c>
      <c r="K90" s="72" t="s">
        <v>7</v>
      </c>
      <c r="L90" s="73" t="s">
        <v>444</v>
      </c>
      <c r="M90" s="99" t="s">
        <v>29</v>
      </c>
      <c r="N90" s="99" t="s">
        <v>29</v>
      </c>
      <c r="O90" s="139">
        <v>10000</v>
      </c>
      <c r="P90" s="74"/>
      <c r="Q90" s="256"/>
      <c r="R90" s="82"/>
      <c r="S90" s="82">
        <v>1666.6666666666665</v>
      </c>
      <c r="T90" s="82">
        <v>1666.6666666666665</v>
      </c>
      <c r="U90" s="82">
        <v>6666.67</v>
      </c>
      <c r="V90" s="157"/>
      <c r="W90" s="52" t="s">
        <v>1329</v>
      </c>
      <c r="X90" s="122" t="s">
        <v>19</v>
      </c>
      <c r="Y90" s="115" t="s">
        <v>249</v>
      </c>
      <c r="Z90" s="297"/>
      <c r="AA90" s="165" t="s">
        <v>1266</v>
      </c>
      <c r="AB90" s="165" t="s">
        <v>1209</v>
      </c>
      <c r="AC90" s="117"/>
      <c r="AD9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9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9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1666.6666666666665</v>
      </c>
      <c r="AG9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1666.6666666666665</v>
      </c>
      <c r="AH90"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6666.67</v>
      </c>
      <c r="AI90"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90" s="32">
        <f t="shared" si="8"/>
        <v>3333.333333333333</v>
      </c>
      <c r="AK90" s="32">
        <f t="shared" si="13"/>
        <v>6666.67</v>
      </c>
      <c r="AL90" s="32">
        <f t="shared" si="9"/>
        <v>10000.003333333334</v>
      </c>
    </row>
    <row r="91" spans="1:39" s="49" customFormat="1" ht="31.5" customHeight="1">
      <c r="A91" s="69" t="s">
        <v>231</v>
      </c>
      <c r="B91" s="69" t="s">
        <v>360</v>
      </c>
      <c r="C91" s="70" t="s">
        <v>435</v>
      </c>
      <c r="D91" s="70"/>
      <c r="E91" s="71"/>
      <c r="F91" s="70" t="s">
        <v>1001</v>
      </c>
      <c r="G91" s="70"/>
      <c r="H91" s="73" t="s">
        <v>6</v>
      </c>
      <c r="I91" s="107" t="s">
        <v>7</v>
      </c>
      <c r="J91" s="107" t="s">
        <v>8</v>
      </c>
      <c r="K91" s="107" t="s">
        <v>7</v>
      </c>
      <c r="L91" s="73" t="s">
        <v>444</v>
      </c>
      <c r="M91" s="99" t="s">
        <v>29</v>
      </c>
      <c r="N91" s="99" t="s">
        <v>29</v>
      </c>
      <c r="O91" s="139">
        <v>2847.46</v>
      </c>
      <c r="P91" s="74"/>
      <c r="Q91" s="253"/>
      <c r="R91" s="139"/>
      <c r="S91" s="140"/>
      <c r="T91" s="143"/>
      <c r="U91" s="139">
        <v>1030.1300000000001</v>
      </c>
      <c r="V91" s="157">
        <v>1817.33</v>
      </c>
      <c r="W91" s="52" t="s">
        <v>1329</v>
      </c>
      <c r="X91" s="122" t="s">
        <v>19</v>
      </c>
      <c r="Y91" s="113" t="s">
        <v>249</v>
      </c>
      <c r="Z91" s="297"/>
      <c r="AA91" s="165" t="s">
        <v>1266</v>
      </c>
      <c r="AB91" s="165" t="s">
        <v>1209</v>
      </c>
      <c r="AC91" s="117" t="s">
        <v>10</v>
      </c>
      <c r="AD9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9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9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9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91"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1030.1300000000001</v>
      </c>
      <c r="AI91"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1817.33</v>
      </c>
      <c r="AJ91" s="10">
        <f t="shared" si="8"/>
        <v>0</v>
      </c>
      <c r="AK91" s="10">
        <f t="shared" si="13"/>
        <v>2847.46</v>
      </c>
      <c r="AL91" s="10">
        <f t="shared" si="9"/>
        <v>2847.46</v>
      </c>
    </row>
    <row r="92" spans="1:39" s="49" customFormat="1" ht="31.5" customHeight="1">
      <c r="A92" s="69" t="s">
        <v>231</v>
      </c>
      <c r="B92" s="69" t="s">
        <v>360</v>
      </c>
      <c r="C92" s="70" t="s">
        <v>435</v>
      </c>
      <c r="D92" s="70"/>
      <c r="E92" s="71"/>
      <c r="F92" s="70" t="s">
        <v>1003</v>
      </c>
      <c r="G92" s="70"/>
      <c r="H92" s="73" t="s">
        <v>6</v>
      </c>
      <c r="I92" s="107" t="s">
        <v>7</v>
      </c>
      <c r="J92" s="107" t="s">
        <v>8</v>
      </c>
      <c r="K92" s="107" t="s">
        <v>7</v>
      </c>
      <c r="L92" s="73" t="s">
        <v>1032</v>
      </c>
      <c r="M92" s="99" t="s">
        <v>29</v>
      </c>
      <c r="N92" s="99" t="s">
        <v>29</v>
      </c>
      <c r="O92" s="139">
        <v>30.75</v>
      </c>
      <c r="P92" s="74"/>
      <c r="Q92" s="253"/>
      <c r="R92" s="139"/>
      <c r="S92" s="140"/>
      <c r="T92" s="143"/>
      <c r="U92" s="139">
        <v>30.75</v>
      </c>
      <c r="V92" s="157"/>
      <c r="W92" s="52" t="s">
        <v>1329</v>
      </c>
      <c r="X92" s="122" t="s">
        <v>19</v>
      </c>
      <c r="Y92" s="113" t="s">
        <v>249</v>
      </c>
      <c r="Z92" s="297"/>
      <c r="AA92" s="165" t="s">
        <v>1266</v>
      </c>
      <c r="AB92" s="165" t="s">
        <v>1209</v>
      </c>
      <c r="AC92" s="117" t="s">
        <v>10</v>
      </c>
      <c r="AD9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9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9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9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92"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30.75</v>
      </c>
      <c r="AI92"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92" s="10">
        <f t="shared" si="8"/>
        <v>0</v>
      </c>
      <c r="AK92" s="10">
        <f>+SUM(AH92:AI92)</f>
        <v>30.75</v>
      </c>
      <c r="AL92" s="10">
        <f t="shared" si="9"/>
        <v>30.75</v>
      </c>
    </row>
    <row r="93" spans="1:39" s="49" customFormat="1" ht="31.5" customHeight="1">
      <c r="A93" s="69" t="s">
        <v>231</v>
      </c>
      <c r="B93" s="69" t="s">
        <v>360</v>
      </c>
      <c r="C93" s="70" t="s">
        <v>435</v>
      </c>
      <c r="D93" s="70"/>
      <c r="E93" s="71"/>
      <c r="F93" s="70" t="s">
        <v>1002</v>
      </c>
      <c r="G93" s="70"/>
      <c r="H93" s="73" t="s">
        <v>6</v>
      </c>
      <c r="I93" s="107" t="s">
        <v>7</v>
      </c>
      <c r="J93" s="107" t="s">
        <v>8</v>
      </c>
      <c r="K93" s="107" t="s">
        <v>7</v>
      </c>
      <c r="L93" s="73" t="s">
        <v>449</v>
      </c>
      <c r="M93" s="99" t="s">
        <v>29</v>
      </c>
      <c r="N93" s="99" t="s">
        <v>29</v>
      </c>
      <c r="O93" s="139">
        <v>65.599999999999994</v>
      </c>
      <c r="P93" s="74"/>
      <c r="Q93" s="253"/>
      <c r="R93" s="139"/>
      <c r="S93" s="140">
        <v>16.399999999999999</v>
      </c>
      <c r="T93" s="143">
        <v>16.399999999999999</v>
      </c>
      <c r="U93" s="139">
        <v>32.799999999999997</v>
      </c>
      <c r="V93" s="157"/>
      <c r="W93" s="52" t="s">
        <v>1329</v>
      </c>
      <c r="X93" s="122" t="s">
        <v>19</v>
      </c>
      <c r="Y93" s="113" t="s">
        <v>249</v>
      </c>
      <c r="Z93" s="297"/>
      <c r="AA93" s="165" t="s">
        <v>1266</v>
      </c>
      <c r="AB93" s="165" t="s">
        <v>1209</v>
      </c>
      <c r="AC93" s="117" t="s">
        <v>10</v>
      </c>
      <c r="AD9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9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9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16.399999999999999</v>
      </c>
      <c r="AG9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16.399999999999999</v>
      </c>
      <c r="AH93"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32.799999999999997</v>
      </c>
      <c r="AI93"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93" s="10">
        <f t="shared" si="8"/>
        <v>32.799999999999997</v>
      </c>
      <c r="AK93" s="10">
        <f>+SUM(AH93:AI93)</f>
        <v>32.799999999999997</v>
      </c>
      <c r="AL93" s="10">
        <f t="shared" si="9"/>
        <v>65.599999999999994</v>
      </c>
    </row>
    <row r="94" spans="1:39" ht="31.5" customHeight="1">
      <c r="A94" s="6" t="s">
        <v>231</v>
      </c>
      <c r="B94" s="6" t="s">
        <v>360</v>
      </c>
      <c r="C94" s="129" t="s">
        <v>435</v>
      </c>
      <c r="D94" s="129"/>
      <c r="E94" s="27"/>
      <c r="F94" s="129" t="s">
        <v>609</v>
      </c>
      <c r="G94" s="129" t="s">
        <v>610</v>
      </c>
      <c r="H94" s="78" t="s">
        <v>25</v>
      </c>
      <c r="I94" s="1" t="s">
        <v>7</v>
      </c>
      <c r="J94" s="1" t="s">
        <v>8</v>
      </c>
      <c r="K94" s="1" t="s">
        <v>7</v>
      </c>
      <c r="L94" s="98" t="s">
        <v>444</v>
      </c>
      <c r="M94" s="1">
        <v>2015</v>
      </c>
      <c r="N94" s="156">
        <v>2017</v>
      </c>
      <c r="O94" s="142"/>
      <c r="P94" s="9"/>
      <c r="Q94" s="254"/>
      <c r="R94" s="142"/>
      <c r="S94" s="142"/>
      <c r="T94" s="142"/>
      <c r="U94" s="142"/>
      <c r="V94" s="142"/>
      <c r="W94" s="1" t="s">
        <v>1329</v>
      </c>
      <c r="X94" s="1"/>
      <c r="Y94" s="1"/>
      <c r="Z94" s="296" t="s">
        <v>1087</v>
      </c>
      <c r="AA94" s="165" t="s">
        <v>1266</v>
      </c>
      <c r="AB94" s="165" t="s">
        <v>1209</v>
      </c>
      <c r="AC94" s="117"/>
      <c r="AD9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9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9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9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94"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94"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94" s="10">
        <f t="shared" si="8"/>
        <v>0</v>
      </c>
      <c r="AK94" s="10">
        <f t="shared" si="13"/>
        <v>0</v>
      </c>
      <c r="AL94" s="10">
        <f t="shared" si="9"/>
        <v>0</v>
      </c>
      <c r="AM94" s="6"/>
    </row>
    <row r="95" spans="1:39" ht="31.5" customHeight="1">
      <c r="A95" s="6" t="s">
        <v>231</v>
      </c>
      <c r="B95" s="6" t="s">
        <v>360</v>
      </c>
      <c r="C95" s="129" t="s">
        <v>435</v>
      </c>
      <c r="D95" s="129"/>
      <c r="E95" s="27"/>
      <c r="F95" s="129" t="s">
        <v>609</v>
      </c>
      <c r="G95" s="129" t="s">
        <v>610</v>
      </c>
      <c r="H95" s="78" t="s">
        <v>25</v>
      </c>
      <c r="I95" s="1" t="s">
        <v>7</v>
      </c>
      <c r="J95" s="1" t="s">
        <v>8</v>
      </c>
      <c r="K95" s="1" t="s">
        <v>7</v>
      </c>
      <c r="L95" s="98" t="s">
        <v>444</v>
      </c>
      <c r="M95" s="1">
        <v>2016</v>
      </c>
      <c r="N95" s="156">
        <v>2018</v>
      </c>
      <c r="O95" s="142"/>
      <c r="P95" s="9"/>
      <c r="Q95" s="254"/>
      <c r="R95" s="142"/>
      <c r="S95" s="142"/>
      <c r="T95" s="142"/>
      <c r="U95" s="142"/>
      <c r="V95" s="142"/>
      <c r="W95" s="1" t="s">
        <v>1329</v>
      </c>
      <c r="X95" s="1"/>
      <c r="Y95" s="1"/>
      <c r="Z95" s="296" t="s">
        <v>1087</v>
      </c>
      <c r="AA95" s="165" t="s">
        <v>1266</v>
      </c>
      <c r="AB95" s="165" t="s">
        <v>1209</v>
      </c>
      <c r="AC95" s="117"/>
      <c r="AD9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9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9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9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95"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95"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95" s="10">
        <f t="shared" si="8"/>
        <v>0</v>
      </c>
      <c r="AK95" s="10">
        <f t="shared" si="13"/>
        <v>0</v>
      </c>
      <c r="AL95" s="10">
        <f t="shared" si="9"/>
        <v>0</v>
      </c>
      <c r="AM95" s="6"/>
    </row>
    <row r="96" spans="1:39" ht="31.5" customHeight="1">
      <c r="A96" s="6" t="s">
        <v>231</v>
      </c>
      <c r="B96" s="6" t="s">
        <v>360</v>
      </c>
      <c r="C96" s="129" t="s">
        <v>435</v>
      </c>
      <c r="D96" s="129"/>
      <c r="E96" s="27"/>
      <c r="F96" s="129" t="s">
        <v>609</v>
      </c>
      <c r="G96" s="129" t="s">
        <v>610</v>
      </c>
      <c r="H96" s="78" t="s">
        <v>25</v>
      </c>
      <c r="I96" s="1" t="s">
        <v>7</v>
      </c>
      <c r="J96" s="1" t="s">
        <v>8</v>
      </c>
      <c r="K96" s="1" t="s">
        <v>7</v>
      </c>
      <c r="L96" s="98" t="s">
        <v>444</v>
      </c>
      <c r="M96" s="1">
        <v>2017</v>
      </c>
      <c r="N96" s="156">
        <v>2019</v>
      </c>
      <c r="O96" s="142"/>
      <c r="P96" s="9"/>
      <c r="Q96" s="254"/>
      <c r="R96" s="142"/>
      <c r="S96" s="142"/>
      <c r="T96" s="142"/>
      <c r="U96" s="142"/>
      <c r="V96" s="142"/>
      <c r="W96" s="1" t="s">
        <v>1329</v>
      </c>
      <c r="X96" s="1"/>
      <c r="Y96" s="1"/>
      <c r="Z96" s="296" t="s">
        <v>1087</v>
      </c>
      <c r="AA96" s="165" t="s">
        <v>1266</v>
      </c>
      <c r="AB96" s="165" t="s">
        <v>1209</v>
      </c>
      <c r="AC96" s="117"/>
      <c r="AD9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9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9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9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96"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96"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96" s="10">
        <f t="shared" si="8"/>
        <v>0</v>
      </c>
      <c r="AK96" s="10">
        <f t="shared" si="13"/>
        <v>0</v>
      </c>
      <c r="AL96" s="10">
        <f t="shared" si="9"/>
        <v>0</v>
      </c>
      <c r="AM96" s="6"/>
    </row>
    <row r="97" spans="1:39" ht="31.5" customHeight="1">
      <c r="A97" s="6" t="s">
        <v>231</v>
      </c>
      <c r="B97" s="6" t="s">
        <v>360</v>
      </c>
      <c r="C97" s="129" t="s">
        <v>435</v>
      </c>
      <c r="D97" s="129"/>
      <c r="E97" s="27"/>
      <c r="F97" s="129" t="s">
        <v>609</v>
      </c>
      <c r="G97" s="129" t="s">
        <v>610</v>
      </c>
      <c r="H97" s="78" t="s">
        <v>25</v>
      </c>
      <c r="I97" s="1" t="s">
        <v>7</v>
      </c>
      <c r="J97" s="1" t="s">
        <v>8</v>
      </c>
      <c r="K97" s="1" t="s">
        <v>7</v>
      </c>
      <c r="L97" s="98" t="s">
        <v>444</v>
      </c>
      <c r="M97" s="1">
        <v>2018</v>
      </c>
      <c r="N97" s="156">
        <v>2020</v>
      </c>
      <c r="O97" s="142"/>
      <c r="P97" s="9"/>
      <c r="Q97" s="254"/>
      <c r="R97" s="142"/>
      <c r="S97" s="142"/>
      <c r="T97" s="142"/>
      <c r="U97" s="142"/>
      <c r="V97" s="142"/>
      <c r="W97" s="1" t="s">
        <v>1329</v>
      </c>
      <c r="X97" s="1"/>
      <c r="Y97" s="1"/>
      <c r="Z97" s="296" t="s">
        <v>1087</v>
      </c>
      <c r="AA97" s="165" t="s">
        <v>1266</v>
      </c>
      <c r="AB97" s="165" t="s">
        <v>1209</v>
      </c>
      <c r="AC97" s="117"/>
      <c r="AD9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9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9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9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97"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97"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97" s="10">
        <f t="shared" si="8"/>
        <v>0</v>
      </c>
      <c r="AK97" s="10">
        <f t="shared" si="13"/>
        <v>0</v>
      </c>
      <c r="AL97" s="10">
        <f t="shared" si="9"/>
        <v>0</v>
      </c>
      <c r="AM97" s="6"/>
    </row>
    <row r="98" spans="1:39" ht="31.5" customHeight="1">
      <c r="A98" s="6" t="s">
        <v>231</v>
      </c>
      <c r="B98" s="6" t="s">
        <v>360</v>
      </c>
      <c r="C98" s="129" t="s">
        <v>435</v>
      </c>
      <c r="D98" s="129"/>
      <c r="E98" s="27"/>
      <c r="F98" s="129" t="s">
        <v>609</v>
      </c>
      <c r="G98" s="129" t="s">
        <v>610</v>
      </c>
      <c r="H98" s="78" t="s">
        <v>25</v>
      </c>
      <c r="I98" s="1" t="s">
        <v>7</v>
      </c>
      <c r="J98" s="1" t="s">
        <v>8</v>
      </c>
      <c r="K98" s="1" t="s">
        <v>7</v>
      </c>
      <c r="L98" s="98" t="s">
        <v>444</v>
      </c>
      <c r="M98" s="1">
        <v>2019</v>
      </c>
      <c r="N98" s="156">
        <v>2021</v>
      </c>
      <c r="O98" s="142"/>
      <c r="P98" s="9"/>
      <c r="Q98" s="254"/>
      <c r="R98" s="142"/>
      <c r="S98" s="142"/>
      <c r="T98" s="142"/>
      <c r="U98" s="142"/>
      <c r="V98" s="142"/>
      <c r="W98" s="1" t="s">
        <v>1329</v>
      </c>
      <c r="X98" s="1"/>
      <c r="Y98" s="1"/>
      <c r="Z98" s="296" t="s">
        <v>1087</v>
      </c>
      <c r="AA98" s="165" t="s">
        <v>1266</v>
      </c>
      <c r="AB98" s="165" t="s">
        <v>1209</v>
      </c>
      <c r="AC98" s="117"/>
      <c r="AD9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9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9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9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98"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98"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98" s="10">
        <f t="shared" si="8"/>
        <v>0</v>
      </c>
      <c r="AK98" s="10">
        <f t="shared" si="13"/>
        <v>0</v>
      </c>
      <c r="AL98" s="10">
        <f t="shared" si="9"/>
        <v>0</v>
      </c>
      <c r="AM98" s="6"/>
    </row>
    <row r="99" spans="1:39" ht="31.5" customHeight="1">
      <c r="A99" s="6" t="s">
        <v>231</v>
      </c>
      <c r="B99" s="6" t="s">
        <v>360</v>
      </c>
      <c r="C99" s="129" t="s">
        <v>435</v>
      </c>
      <c r="D99" s="129"/>
      <c r="E99" s="27"/>
      <c r="F99" s="129" t="s">
        <v>609</v>
      </c>
      <c r="G99" s="129" t="s">
        <v>610</v>
      </c>
      <c r="H99" s="78" t="s">
        <v>25</v>
      </c>
      <c r="I99" s="1" t="s">
        <v>7</v>
      </c>
      <c r="J99" s="1" t="s">
        <v>8</v>
      </c>
      <c r="K99" s="1" t="s">
        <v>7</v>
      </c>
      <c r="L99" s="98" t="s">
        <v>444</v>
      </c>
      <c r="M99" s="1">
        <v>2020</v>
      </c>
      <c r="N99" s="156">
        <v>2022</v>
      </c>
      <c r="O99" s="142"/>
      <c r="P99" s="9"/>
      <c r="Q99" s="254"/>
      <c r="R99" s="142"/>
      <c r="S99" s="142"/>
      <c r="T99" s="142"/>
      <c r="U99" s="142"/>
      <c r="V99" s="142"/>
      <c r="W99" s="1" t="s">
        <v>1329</v>
      </c>
      <c r="X99" s="1"/>
      <c r="Y99" s="1"/>
      <c r="Z99" s="296" t="s">
        <v>1087</v>
      </c>
      <c r="AA99" s="165" t="s">
        <v>1266</v>
      </c>
      <c r="AB99" s="165" t="s">
        <v>1209</v>
      </c>
      <c r="AC99" s="117"/>
      <c r="AD9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9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9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9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99"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99"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99" s="10">
        <f t="shared" si="8"/>
        <v>0</v>
      </c>
      <c r="AK99" s="10">
        <f t="shared" si="13"/>
        <v>0</v>
      </c>
      <c r="AL99" s="10">
        <f t="shared" si="9"/>
        <v>0</v>
      </c>
      <c r="AM99" s="6"/>
    </row>
    <row r="100" spans="1:39" ht="31.5" customHeight="1">
      <c r="A100" s="6" t="s">
        <v>231</v>
      </c>
      <c r="B100" s="6" t="s">
        <v>360</v>
      </c>
      <c r="C100" s="129" t="s">
        <v>435</v>
      </c>
      <c r="D100" s="129"/>
      <c r="E100" s="27"/>
      <c r="F100" s="129" t="s">
        <v>609</v>
      </c>
      <c r="G100" s="129" t="s">
        <v>610</v>
      </c>
      <c r="H100" s="78" t="s">
        <v>25</v>
      </c>
      <c r="I100" s="1" t="s">
        <v>7</v>
      </c>
      <c r="J100" s="1" t="s">
        <v>8</v>
      </c>
      <c r="K100" s="1" t="s">
        <v>7</v>
      </c>
      <c r="L100" s="98" t="s">
        <v>444</v>
      </c>
      <c r="M100" s="1">
        <v>2021</v>
      </c>
      <c r="N100" s="156">
        <v>2023</v>
      </c>
      <c r="O100" s="142"/>
      <c r="P100" s="9"/>
      <c r="Q100" s="254"/>
      <c r="R100" s="142"/>
      <c r="S100" s="142"/>
      <c r="T100" s="142"/>
      <c r="U100" s="142"/>
      <c r="V100" s="142"/>
      <c r="W100" s="1" t="s">
        <v>1329</v>
      </c>
      <c r="X100" s="1"/>
      <c r="Y100" s="1"/>
      <c r="Z100" s="296" t="s">
        <v>1087</v>
      </c>
      <c r="AA100" s="165" t="s">
        <v>1266</v>
      </c>
      <c r="AB100" s="165" t="s">
        <v>1209</v>
      </c>
      <c r="AC100" s="117"/>
      <c r="AD10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0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0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0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00"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00"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00" s="10">
        <f t="shared" si="8"/>
        <v>0</v>
      </c>
      <c r="AK100" s="10">
        <f t="shared" si="13"/>
        <v>0</v>
      </c>
      <c r="AL100" s="10">
        <f t="shared" si="9"/>
        <v>0</v>
      </c>
      <c r="AM100" s="6"/>
    </row>
    <row r="101" spans="1:39" ht="31.5" customHeight="1">
      <c r="A101" s="6" t="s">
        <v>231</v>
      </c>
      <c r="B101" s="6" t="s">
        <v>360</v>
      </c>
      <c r="C101" s="129" t="s">
        <v>435</v>
      </c>
      <c r="D101" s="129"/>
      <c r="E101" s="27"/>
      <c r="F101" s="129" t="s">
        <v>609</v>
      </c>
      <c r="G101" s="129" t="s">
        <v>610</v>
      </c>
      <c r="H101" s="78" t="s">
        <v>25</v>
      </c>
      <c r="I101" s="1" t="s">
        <v>7</v>
      </c>
      <c r="J101" s="1" t="s">
        <v>8</v>
      </c>
      <c r="K101" s="1" t="s">
        <v>7</v>
      </c>
      <c r="L101" s="98" t="s">
        <v>444</v>
      </c>
      <c r="M101" s="1">
        <v>2022</v>
      </c>
      <c r="N101" s="156">
        <v>2024</v>
      </c>
      <c r="O101" s="142"/>
      <c r="P101" s="9"/>
      <c r="Q101" s="254"/>
      <c r="R101" s="142"/>
      <c r="S101" s="142"/>
      <c r="T101" s="142"/>
      <c r="U101" s="142"/>
      <c r="V101" s="142"/>
      <c r="W101" s="1" t="s">
        <v>1329</v>
      </c>
      <c r="X101" s="1"/>
      <c r="Y101" s="1"/>
      <c r="Z101" s="296" t="s">
        <v>1087</v>
      </c>
      <c r="AA101" s="165" t="s">
        <v>1266</v>
      </c>
      <c r="AB101" s="165" t="s">
        <v>1209</v>
      </c>
      <c r="AC101" s="117"/>
      <c r="AD10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0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0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0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01"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01"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01" s="10">
        <f t="shared" si="8"/>
        <v>0</v>
      </c>
      <c r="AK101" s="10">
        <f t="shared" si="13"/>
        <v>0</v>
      </c>
      <c r="AL101" s="10">
        <f t="shared" si="9"/>
        <v>0</v>
      </c>
      <c r="AM101" s="6"/>
    </row>
    <row r="102" spans="1:39" ht="31.5" customHeight="1">
      <c r="A102" s="6" t="s">
        <v>231</v>
      </c>
      <c r="B102" s="6" t="s">
        <v>360</v>
      </c>
      <c r="C102" s="129" t="s">
        <v>435</v>
      </c>
      <c r="D102" s="129"/>
      <c r="E102" s="27"/>
      <c r="F102" s="129" t="s">
        <v>611</v>
      </c>
      <c r="G102" s="129" t="s">
        <v>612</v>
      </c>
      <c r="H102" s="78" t="s">
        <v>17</v>
      </c>
      <c r="I102" s="1" t="s">
        <v>7</v>
      </c>
      <c r="J102" s="1" t="s">
        <v>8</v>
      </c>
      <c r="K102" s="1" t="s">
        <v>7</v>
      </c>
      <c r="L102" s="98" t="s">
        <v>444</v>
      </c>
      <c r="M102" s="1">
        <v>2017</v>
      </c>
      <c r="N102" s="156">
        <v>2019</v>
      </c>
      <c r="O102" s="142"/>
      <c r="P102" s="9"/>
      <c r="Q102" s="254"/>
      <c r="R102" s="142"/>
      <c r="S102" s="142"/>
      <c r="T102" s="142"/>
      <c r="U102" s="142"/>
      <c r="V102" s="142"/>
      <c r="W102" s="1" t="s">
        <v>1329</v>
      </c>
      <c r="X102" s="1"/>
      <c r="Y102" s="1"/>
      <c r="Z102" s="296" t="s">
        <v>1087</v>
      </c>
      <c r="AA102" s="165" t="s">
        <v>1266</v>
      </c>
      <c r="AB102" s="165" t="s">
        <v>1209</v>
      </c>
      <c r="AC102" s="117"/>
      <c r="AD10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0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0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0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02"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02"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02" s="10">
        <f t="shared" si="8"/>
        <v>0</v>
      </c>
      <c r="AK102" s="10">
        <f t="shared" si="13"/>
        <v>0</v>
      </c>
      <c r="AL102" s="10">
        <f t="shared" si="9"/>
        <v>0</v>
      </c>
      <c r="AM102" s="6"/>
    </row>
    <row r="103" spans="1:39" ht="31.5" customHeight="1">
      <c r="A103" s="6" t="s">
        <v>231</v>
      </c>
      <c r="B103" s="6" t="s">
        <v>360</v>
      </c>
      <c r="C103" s="129" t="s">
        <v>435</v>
      </c>
      <c r="D103" s="129"/>
      <c r="E103" s="27"/>
      <c r="F103" s="129" t="s">
        <v>611</v>
      </c>
      <c r="G103" s="129" t="s">
        <v>612</v>
      </c>
      <c r="H103" s="78" t="s">
        <v>17</v>
      </c>
      <c r="I103" s="1" t="s">
        <v>7</v>
      </c>
      <c r="J103" s="1" t="s">
        <v>8</v>
      </c>
      <c r="K103" s="1" t="s">
        <v>7</v>
      </c>
      <c r="L103" s="98" t="s">
        <v>444</v>
      </c>
      <c r="M103" s="1">
        <v>2018</v>
      </c>
      <c r="N103" s="156">
        <v>2020</v>
      </c>
      <c r="O103" s="142"/>
      <c r="P103" s="9"/>
      <c r="Q103" s="254"/>
      <c r="R103" s="142"/>
      <c r="S103" s="142"/>
      <c r="T103" s="142"/>
      <c r="U103" s="142"/>
      <c r="V103" s="142"/>
      <c r="W103" s="1" t="s">
        <v>1329</v>
      </c>
      <c r="X103" s="1"/>
      <c r="Y103" s="1"/>
      <c r="Z103" s="296" t="s">
        <v>1087</v>
      </c>
      <c r="AA103" s="165" t="s">
        <v>1266</v>
      </c>
      <c r="AB103" s="165" t="s">
        <v>1209</v>
      </c>
      <c r="AC103" s="117"/>
      <c r="AD10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0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0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0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03"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03"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03" s="10">
        <f t="shared" si="8"/>
        <v>0</v>
      </c>
      <c r="AK103" s="10">
        <f t="shared" si="13"/>
        <v>0</v>
      </c>
      <c r="AL103" s="10">
        <f t="shared" si="9"/>
        <v>0</v>
      </c>
      <c r="AM103" s="6"/>
    </row>
    <row r="104" spans="1:39" ht="31.5" customHeight="1">
      <c r="A104" s="6" t="s">
        <v>231</v>
      </c>
      <c r="B104" s="6" t="s">
        <v>360</v>
      </c>
      <c r="C104" s="129" t="s">
        <v>435</v>
      </c>
      <c r="D104" s="129"/>
      <c r="E104" s="27"/>
      <c r="F104" s="129" t="s">
        <v>611</v>
      </c>
      <c r="G104" s="129" t="s">
        <v>612</v>
      </c>
      <c r="H104" s="78" t="s">
        <v>17</v>
      </c>
      <c r="I104" s="1" t="s">
        <v>7</v>
      </c>
      <c r="J104" s="1" t="s">
        <v>8</v>
      </c>
      <c r="K104" s="1" t="s">
        <v>7</v>
      </c>
      <c r="L104" s="98" t="s">
        <v>444</v>
      </c>
      <c r="M104" s="1">
        <v>2016</v>
      </c>
      <c r="N104" s="156">
        <v>2018</v>
      </c>
      <c r="O104" s="142"/>
      <c r="P104" s="9"/>
      <c r="Q104" s="254"/>
      <c r="R104" s="142"/>
      <c r="S104" s="142"/>
      <c r="T104" s="142"/>
      <c r="U104" s="142"/>
      <c r="V104" s="142"/>
      <c r="W104" s="1" t="s">
        <v>1329</v>
      </c>
      <c r="X104" s="1"/>
      <c r="Y104" s="1"/>
      <c r="Z104" s="296" t="s">
        <v>1087</v>
      </c>
      <c r="AA104" s="165" t="s">
        <v>1266</v>
      </c>
      <c r="AB104" s="165" t="s">
        <v>1209</v>
      </c>
      <c r="AC104" s="117"/>
      <c r="AD10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0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0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0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04"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04"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04" s="10">
        <f t="shared" si="8"/>
        <v>0</v>
      </c>
      <c r="AK104" s="10">
        <f t="shared" si="13"/>
        <v>0</v>
      </c>
      <c r="AL104" s="10">
        <f t="shared" si="9"/>
        <v>0</v>
      </c>
      <c r="AM104" s="6"/>
    </row>
    <row r="105" spans="1:39" ht="31.5" customHeight="1">
      <c r="A105" s="21" t="s">
        <v>231</v>
      </c>
      <c r="B105" s="21" t="s">
        <v>360</v>
      </c>
      <c r="C105" s="126" t="s">
        <v>435</v>
      </c>
      <c r="D105" s="129"/>
      <c r="E105" s="27"/>
      <c r="F105" s="126" t="s">
        <v>606</v>
      </c>
      <c r="G105" s="126" t="s">
        <v>607</v>
      </c>
      <c r="H105" s="78" t="s">
        <v>17</v>
      </c>
      <c r="I105" s="108" t="s">
        <v>7</v>
      </c>
      <c r="J105" s="108" t="s">
        <v>8</v>
      </c>
      <c r="K105" s="108" t="s">
        <v>7</v>
      </c>
      <c r="L105" s="97" t="s">
        <v>1032</v>
      </c>
      <c r="M105" s="108">
        <v>2017</v>
      </c>
      <c r="N105" s="155">
        <v>2019</v>
      </c>
      <c r="O105" s="142"/>
      <c r="P105" s="127"/>
      <c r="Q105" s="254"/>
      <c r="R105" s="141"/>
      <c r="S105" s="141"/>
      <c r="T105" s="141"/>
      <c r="U105" s="142"/>
      <c r="V105" s="142"/>
      <c r="W105" s="1" t="s">
        <v>1329</v>
      </c>
      <c r="X105" s="108"/>
      <c r="Y105" s="108"/>
      <c r="Z105" s="296" t="s">
        <v>1087</v>
      </c>
      <c r="AA105" s="165" t="s">
        <v>1266</v>
      </c>
      <c r="AB105" s="165" t="s">
        <v>1209</v>
      </c>
      <c r="AC105" s="117"/>
      <c r="AD10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0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0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0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05"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05"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05" s="10">
        <f t="shared" si="8"/>
        <v>0</v>
      </c>
      <c r="AK105" s="10">
        <f t="shared" si="13"/>
        <v>0</v>
      </c>
      <c r="AL105" s="10">
        <f t="shared" si="9"/>
        <v>0</v>
      </c>
      <c r="AM105" s="6"/>
    </row>
    <row r="106" spans="1:39" ht="31.5" customHeight="1">
      <c r="A106" s="21" t="s">
        <v>231</v>
      </c>
      <c r="B106" s="21" t="s">
        <v>360</v>
      </c>
      <c r="C106" s="126" t="s">
        <v>435</v>
      </c>
      <c r="D106" s="129"/>
      <c r="E106" s="27"/>
      <c r="F106" s="126" t="s">
        <v>608</v>
      </c>
      <c r="G106" s="126" t="s">
        <v>498</v>
      </c>
      <c r="H106" s="78" t="s">
        <v>17</v>
      </c>
      <c r="I106" s="108" t="s">
        <v>7</v>
      </c>
      <c r="J106" s="108" t="s">
        <v>8</v>
      </c>
      <c r="K106" s="108" t="s">
        <v>7</v>
      </c>
      <c r="L106" s="97" t="s">
        <v>449</v>
      </c>
      <c r="M106" s="108">
        <v>2016</v>
      </c>
      <c r="N106" s="155">
        <v>2018</v>
      </c>
      <c r="O106" s="142"/>
      <c r="P106" s="127"/>
      <c r="Q106" s="254"/>
      <c r="R106" s="141"/>
      <c r="S106" s="141"/>
      <c r="T106" s="141"/>
      <c r="U106" s="142"/>
      <c r="V106" s="142"/>
      <c r="W106" s="1" t="s">
        <v>1329</v>
      </c>
      <c r="X106" s="108"/>
      <c r="Y106" s="108"/>
      <c r="Z106" s="296" t="s">
        <v>1087</v>
      </c>
      <c r="AA106" s="165" t="s">
        <v>1266</v>
      </c>
      <c r="AB106" s="165" t="s">
        <v>1209</v>
      </c>
      <c r="AC106" s="117"/>
      <c r="AD10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0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0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0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06"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06"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06" s="10">
        <f t="shared" si="8"/>
        <v>0</v>
      </c>
      <c r="AK106" s="10">
        <f t="shared" si="13"/>
        <v>0</v>
      </c>
      <c r="AL106" s="10">
        <f t="shared" si="9"/>
        <v>0</v>
      </c>
      <c r="AM106" s="6"/>
    </row>
    <row r="107" spans="1:39" ht="31.5" customHeight="1">
      <c r="A107" s="21" t="s">
        <v>231</v>
      </c>
      <c r="B107" s="21" t="s">
        <v>360</v>
      </c>
      <c r="C107" s="126" t="s">
        <v>435</v>
      </c>
      <c r="D107" s="129"/>
      <c r="E107" s="27"/>
      <c r="F107" s="126" t="s">
        <v>1200</v>
      </c>
      <c r="G107" s="126" t="s">
        <v>1204</v>
      </c>
      <c r="H107" s="78" t="s">
        <v>23</v>
      </c>
      <c r="I107" s="108" t="s">
        <v>7</v>
      </c>
      <c r="J107" s="108" t="s">
        <v>8</v>
      </c>
      <c r="K107" s="108" t="s">
        <v>7</v>
      </c>
      <c r="L107" s="97" t="s">
        <v>449</v>
      </c>
      <c r="M107" s="108">
        <v>2014</v>
      </c>
      <c r="N107" s="155">
        <v>2016</v>
      </c>
      <c r="O107" s="142"/>
      <c r="P107" s="127"/>
      <c r="Q107" s="254"/>
      <c r="R107" s="141"/>
      <c r="S107" s="141"/>
      <c r="T107" s="141"/>
      <c r="U107" s="142"/>
      <c r="V107" s="142"/>
      <c r="W107" s="1" t="s">
        <v>1329</v>
      </c>
      <c r="X107" s="108"/>
      <c r="Y107" s="108"/>
      <c r="Z107" s="296" t="s">
        <v>1087</v>
      </c>
      <c r="AA107" s="165" t="s">
        <v>1266</v>
      </c>
      <c r="AB107" s="165" t="s">
        <v>1209</v>
      </c>
      <c r="AC107" s="117"/>
      <c r="AD10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0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0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0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07"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07"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07" s="10">
        <f t="shared" si="8"/>
        <v>0</v>
      </c>
      <c r="AK107" s="10">
        <f t="shared" ref="AK107:AK110" si="14">+SUM(AH107:AI107)</f>
        <v>0</v>
      </c>
      <c r="AL107" s="10">
        <f t="shared" si="9"/>
        <v>0</v>
      </c>
      <c r="AM107" s="6"/>
    </row>
    <row r="108" spans="1:39" ht="31.5" customHeight="1">
      <c r="A108" s="21" t="s">
        <v>231</v>
      </c>
      <c r="B108" s="21" t="s">
        <v>360</v>
      </c>
      <c r="C108" s="126" t="s">
        <v>435</v>
      </c>
      <c r="D108" s="129"/>
      <c r="E108" s="27"/>
      <c r="F108" s="126" t="s">
        <v>1201</v>
      </c>
      <c r="G108" s="126" t="s">
        <v>1205</v>
      </c>
      <c r="H108" s="78" t="s">
        <v>17</v>
      </c>
      <c r="I108" s="108" t="s">
        <v>7</v>
      </c>
      <c r="J108" s="108" t="s">
        <v>8</v>
      </c>
      <c r="K108" s="108" t="s">
        <v>7</v>
      </c>
      <c r="L108" s="98" t="s">
        <v>444</v>
      </c>
      <c r="M108" s="108">
        <v>2018</v>
      </c>
      <c r="N108" s="155">
        <v>2020</v>
      </c>
      <c r="O108" s="142"/>
      <c r="P108" s="127"/>
      <c r="Q108" s="254"/>
      <c r="R108" s="141"/>
      <c r="S108" s="141"/>
      <c r="T108" s="141"/>
      <c r="U108" s="142"/>
      <c r="V108" s="142"/>
      <c r="W108" s="1" t="s">
        <v>1329</v>
      </c>
      <c r="X108" s="108"/>
      <c r="Y108" s="108"/>
      <c r="Z108" s="296" t="s">
        <v>1087</v>
      </c>
      <c r="AA108" s="165" t="s">
        <v>1266</v>
      </c>
      <c r="AB108" s="165" t="s">
        <v>1209</v>
      </c>
      <c r="AC108" s="117"/>
      <c r="AD10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0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0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0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08"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08"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08" s="10">
        <f t="shared" si="8"/>
        <v>0</v>
      </c>
      <c r="AK108" s="10">
        <f t="shared" si="14"/>
        <v>0</v>
      </c>
      <c r="AL108" s="10">
        <f t="shared" si="9"/>
        <v>0</v>
      </c>
      <c r="AM108" s="6"/>
    </row>
    <row r="109" spans="1:39" ht="31.5" customHeight="1">
      <c r="A109" s="21" t="s">
        <v>231</v>
      </c>
      <c r="B109" s="21" t="s">
        <v>360</v>
      </c>
      <c r="C109" s="126" t="s">
        <v>435</v>
      </c>
      <c r="D109" s="129"/>
      <c r="E109" s="27"/>
      <c r="F109" s="126" t="s">
        <v>1202</v>
      </c>
      <c r="G109" s="126" t="s">
        <v>1318</v>
      </c>
      <c r="H109" s="78" t="s">
        <v>17</v>
      </c>
      <c r="I109" s="108" t="s">
        <v>7</v>
      </c>
      <c r="J109" s="108" t="s">
        <v>8</v>
      </c>
      <c r="K109" s="108" t="s">
        <v>7</v>
      </c>
      <c r="L109" s="98" t="s">
        <v>444</v>
      </c>
      <c r="M109" s="108">
        <v>2018</v>
      </c>
      <c r="N109" s="155">
        <v>2020</v>
      </c>
      <c r="O109" s="142"/>
      <c r="P109" s="127"/>
      <c r="Q109" s="254"/>
      <c r="R109" s="141"/>
      <c r="S109" s="141"/>
      <c r="T109" s="141"/>
      <c r="U109" s="142"/>
      <c r="V109" s="142"/>
      <c r="W109" s="1" t="s">
        <v>1329</v>
      </c>
      <c r="X109" s="108"/>
      <c r="Y109" s="108"/>
      <c r="Z109" s="296" t="s">
        <v>1087</v>
      </c>
      <c r="AA109" s="165" t="s">
        <v>1266</v>
      </c>
      <c r="AB109" s="165" t="s">
        <v>1209</v>
      </c>
      <c r="AC109" s="117"/>
      <c r="AD10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0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0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0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09"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09"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09" s="10">
        <f t="shared" si="8"/>
        <v>0</v>
      </c>
      <c r="AK109" s="10">
        <f t="shared" si="14"/>
        <v>0</v>
      </c>
      <c r="AL109" s="10">
        <f t="shared" si="9"/>
        <v>0</v>
      </c>
      <c r="AM109" s="6"/>
    </row>
    <row r="110" spans="1:39" ht="31.5" customHeight="1">
      <c r="A110" s="21" t="s">
        <v>231</v>
      </c>
      <c r="B110" s="21" t="s">
        <v>360</v>
      </c>
      <c r="C110" s="126" t="s">
        <v>435</v>
      </c>
      <c r="D110" s="129"/>
      <c r="E110" s="27"/>
      <c r="F110" s="126" t="s">
        <v>1203</v>
      </c>
      <c r="G110" s="126" t="s">
        <v>1206</v>
      </c>
      <c r="H110" s="78" t="s">
        <v>17</v>
      </c>
      <c r="I110" s="108" t="s">
        <v>7</v>
      </c>
      <c r="J110" s="108" t="s">
        <v>8</v>
      </c>
      <c r="K110" s="108" t="s">
        <v>7</v>
      </c>
      <c r="L110" s="98" t="s">
        <v>444</v>
      </c>
      <c r="M110" s="108">
        <v>2018</v>
      </c>
      <c r="N110" s="155">
        <v>2020</v>
      </c>
      <c r="O110" s="142"/>
      <c r="P110" s="127"/>
      <c r="Q110" s="254"/>
      <c r="R110" s="141"/>
      <c r="S110" s="141"/>
      <c r="T110" s="141"/>
      <c r="U110" s="142"/>
      <c r="V110" s="142"/>
      <c r="W110" s="1" t="s">
        <v>1329</v>
      </c>
      <c r="X110" s="108"/>
      <c r="Y110" s="108"/>
      <c r="Z110" s="296" t="s">
        <v>1087</v>
      </c>
      <c r="AA110" s="165" t="s">
        <v>1266</v>
      </c>
      <c r="AB110" s="165" t="s">
        <v>1209</v>
      </c>
      <c r="AC110" s="117"/>
      <c r="AD11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1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1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1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10"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10"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10" s="10">
        <f t="shared" si="8"/>
        <v>0</v>
      </c>
      <c r="AK110" s="10">
        <f t="shared" si="14"/>
        <v>0</v>
      </c>
      <c r="AL110" s="10">
        <f t="shared" si="9"/>
        <v>0</v>
      </c>
      <c r="AM110" s="6"/>
    </row>
    <row r="111" spans="1:39" s="49" customFormat="1" ht="31.5" customHeight="1">
      <c r="A111" s="69" t="s">
        <v>231</v>
      </c>
      <c r="B111" s="69" t="s">
        <v>360</v>
      </c>
      <c r="C111" s="70" t="s">
        <v>436</v>
      </c>
      <c r="D111" s="70"/>
      <c r="E111" s="71"/>
      <c r="F111" s="70" t="s">
        <v>1001</v>
      </c>
      <c r="G111" s="70"/>
      <c r="H111" s="73" t="s">
        <v>382</v>
      </c>
      <c r="I111" s="107" t="s">
        <v>7</v>
      </c>
      <c r="J111" s="107" t="s">
        <v>8</v>
      </c>
      <c r="K111" s="107" t="s">
        <v>7</v>
      </c>
      <c r="L111" s="73" t="s">
        <v>444</v>
      </c>
      <c r="M111" s="99" t="s">
        <v>29</v>
      </c>
      <c r="N111" s="99" t="s">
        <v>29</v>
      </c>
      <c r="O111" s="139">
        <v>117.6</v>
      </c>
      <c r="P111" s="74"/>
      <c r="Q111" s="253"/>
      <c r="R111" s="139"/>
      <c r="S111" s="140"/>
      <c r="T111" s="143"/>
      <c r="U111" s="139">
        <v>85.8</v>
      </c>
      <c r="V111" s="157">
        <v>31.8</v>
      </c>
      <c r="W111" s="52" t="s">
        <v>1329</v>
      </c>
      <c r="X111" s="122" t="s">
        <v>19</v>
      </c>
      <c r="Y111" s="113" t="s">
        <v>249</v>
      </c>
      <c r="Z111" s="297"/>
      <c r="AA111" s="165" t="s">
        <v>1266</v>
      </c>
      <c r="AB111" s="165" t="s">
        <v>1209</v>
      </c>
      <c r="AC111" s="117" t="s">
        <v>10</v>
      </c>
      <c r="AD11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1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1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1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11"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85.8</v>
      </c>
      <c r="AI111"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31.8</v>
      </c>
      <c r="AJ111" s="10">
        <f t="shared" si="8"/>
        <v>0</v>
      </c>
      <c r="AK111" s="10">
        <f t="shared" si="13"/>
        <v>117.6</v>
      </c>
      <c r="AL111" s="10">
        <f t="shared" si="9"/>
        <v>117.6</v>
      </c>
    </row>
    <row r="112" spans="1:39" s="49" customFormat="1" ht="31.5" customHeight="1">
      <c r="A112" s="69" t="s">
        <v>231</v>
      </c>
      <c r="B112" s="69" t="s">
        <v>360</v>
      </c>
      <c r="C112" s="70" t="s">
        <v>436</v>
      </c>
      <c r="D112" s="70"/>
      <c r="E112" s="71"/>
      <c r="F112" s="70" t="s">
        <v>1003</v>
      </c>
      <c r="G112" s="70"/>
      <c r="H112" s="73" t="s">
        <v>382</v>
      </c>
      <c r="I112" s="107" t="s">
        <v>7</v>
      </c>
      <c r="J112" s="107" t="s">
        <v>8</v>
      </c>
      <c r="K112" s="107" t="s">
        <v>7</v>
      </c>
      <c r="L112" s="73" t="s">
        <v>1032</v>
      </c>
      <c r="M112" s="99" t="s">
        <v>29</v>
      </c>
      <c r="N112" s="99" t="s">
        <v>29</v>
      </c>
      <c r="O112" s="139">
        <v>1800</v>
      </c>
      <c r="P112" s="74"/>
      <c r="Q112" s="253"/>
      <c r="R112" s="139"/>
      <c r="S112" s="140"/>
      <c r="T112" s="143"/>
      <c r="U112" s="139">
        <v>1160</v>
      </c>
      <c r="V112" s="157">
        <v>640</v>
      </c>
      <c r="W112" s="52" t="s">
        <v>1329</v>
      </c>
      <c r="X112" s="122" t="s">
        <v>19</v>
      </c>
      <c r="Y112" s="113" t="s">
        <v>249</v>
      </c>
      <c r="Z112" s="297"/>
      <c r="AA112" s="165" t="s">
        <v>1266</v>
      </c>
      <c r="AB112" s="165" t="s">
        <v>1209</v>
      </c>
      <c r="AC112" s="117" t="s">
        <v>10</v>
      </c>
      <c r="AD11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1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1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1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12"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1160</v>
      </c>
      <c r="AI112"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640</v>
      </c>
      <c r="AJ112" s="10">
        <f t="shared" si="8"/>
        <v>0</v>
      </c>
      <c r="AK112" s="10">
        <f>+SUM(AH112:AI112)</f>
        <v>1800</v>
      </c>
      <c r="AL112" s="10">
        <f t="shared" si="9"/>
        <v>1800</v>
      </c>
    </row>
    <row r="113" spans="1:39" s="49" customFormat="1" ht="31.5" customHeight="1">
      <c r="A113" s="69" t="s">
        <v>231</v>
      </c>
      <c r="B113" s="69" t="s">
        <v>360</v>
      </c>
      <c r="C113" s="70" t="s">
        <v>436</v>
      </c>
      <c r="D113" s="70"/>
      <c r="E113" s="71"/>
      <c r="F113" s="70" t="s">
        <v>1002</v>
      </c>
      <c r="G113" s="70"/>
      <c r="H113" s="73" t="s">
        <v>382</v>
      </c>
      <c r="I113" s="107" t="s">
        <v>7</v>
      </c>
      <c r="J113" s="107" t="s">
        <v>8</v>
      </c>
      <c r="K113" s="107" t="s">
        <v>7</v>
      </c>
      <c r="L113" s="73" t="s">
        <v>449</v>
      </c>
      <c r="M113" s="99" t="s">
        <v>29</v>
      </c>
      <c r="N113" s="99" t="s">
        <v>29</v>
      </c>
      <c r="O113" s="139">
        <v>256</v>
      </c>
      <c r="P113" s="74"/>
      <c r="Q113" s="253"/>
      <c r="R113" s="139"/>
      <c r="S113" s="140"/>
      <c r="T113" s="143"/>
      <c r="U113" s="139">
        <v>256</v>
      </c>
      <c r="V113" s="157"/>
      <c r="W113" s="52" t="s">
        <v>1329</v>
      </c>
      <c r="X113" s="122" t="s">
        <v>19</v>
      </c>
      <c r="Y113" s="113" t="s">
        <v>249</v>
      </c>
      <c r="Z113" s="297"/>
      <c r="AA113" s="165" t="s">
        <v>1266</v>
      </c>
      <c r="AB113" s="165" t="s">
        <v>1209</v>
      </c>
      <c r="AC113" s="117" t="s">
        <v>10</v>
      </c>
      <c r="AD11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1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1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1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13"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256</v>
      </c>
      <c r="AI113"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13" s="10">
        <f t="shared" si="8"/>
        <v>0</v>
      </c>
      <c r="AK113" s="10">
        <f>+SUM(AH113:AI113)</f>
        <v>256</v>
      </c>
      <c r="AL113" s="10">
        <f t="shared" si="9"/>
        <v>256</v>
      </c>
    </row>
    <row r="114" spans="1:39" ht="31.5" customHeight="1">
      <c r="A114" s="21" t="s">
        <v>231</v>
      </c>
      <c r="B114" s="21" t="s">
        <v>360</v>
      </c>
      <c r="C114" s="126" t="s">
        <v>436</v>
      </c>
      <c r="D114" s="129"/>
      <c r="E114" s="27"/>
      <c r="F114" s="126" t="s">
        <v>1210</v>
      </c>
      <c r="G114" s="126" t="s">
        <v>599</v>
      </c>
      <c r="H114" s="78" t="s">
        <v>382</v>
      </c>
      <c r="I114" s="108" t="s">
        <v>7</v>
      </c>
      <c r="J114" s="108" t="s">
        <v>8</v>
      </c>
      <c r="K114" s="108" t="s">
        <v>7</v>
      </c>
      <c r="L114" s="97" t="s">
        <v>1032</v>
      </c>
      <c r="M114" s="108">
        <v>2016</v>
      </c>
      <c r="N114" s="155">
        <v>2018</v>
      </c>
      <c r="O114" s="142"/>
      <c r="P114" s="127"/>
      <c r="Q114" s="254"/>
      <c r="R114" s="141"/>
      <c r="S114" s="141"/>
      <c r="T114" s="141"/>
      <c r="U114" s="142"/>
      <c r="V114" s="142"/>
      <c r="W114" s="1" t="s">
        <v>1329</v>
      </c>
      <c r="X114" s="108"/>
      <c r="Y114" s="108"/>
      <c r="Z114" s="296" t="s">
        <v>1087</v>
      </c>
      <c r="AA114" s="165" t="s">
        <v>1266</v>
      </c>
      <c r="AB114" s="165" t="s">
        <v>1209</v>
      </c>
      <c r="AC114" s="117"/>
      <c r="AD11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1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1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1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14"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14"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14" s="10">
        <f t="shared" si="8"/>
        <v>0</v>
      </c>
      <c r="AK114" s="10">
        <f t="shared" si="13"/>
        <v>0</v>
      </c>
      <c r="AL114" s="10">
        <f t="shared" si="9"/>
        <v>0</v>
      </c>
      <c r="AM114" s="6"/>
    </row>
    <row r="115" spans="1:39" ht="31.5" customHeight="1">
      <c r="A115" s="21" t="s">
        <v>231</v>
      </c>
      <c r="B115" s="21" t="s">
        <v>360</v>
      </c>
      <c r="C115" s="126" t="s">
        <v>436</v>
      </c>
      <c r="D115" s="129"/>
      <c r="E115" s="27"/>
      <c r="F115" s="126" t="s">
        <v>1211</v>
      </c>
      <c r="G115" s="126" t="s">
        <v>599</v>
      </c>
      <c r="H115" s="78" t="s">
        <v>382</v>
      </c>
      <c r="I115" s="108" t="s">
        <v>7</v>
      </c>
      <c r="J115" s="108" t="s">
        <v>8</v>
      </c>
      <c r="K115" s="108" t="s">
        <v>7</v>
      </c>
      <c r="L115" s="97" t="s">
        <v>1032</v>
      </c>
      <c r="M115" s="108">
        <v>2018</v>
      </c>
      <c r="N115" s="155">
        <v>2020</v>
      </c>
      <c r="O115" s="142"/>
      <c r="P115" s="127"/>
      <c r="Q115" s="254"/>
      <c r="R115" s="141"/>
      <c r="S115" s="141"/>
      <c r="T115" s="141"/>
      <c r="U115" s="142"/>
      <c r="V115" s="142"/>
      <c r="W115" s="1" t="s">
        <v>1329</v>
      </c>
      <c r="X115" s="108"/>
      <c r="Y115" s="108"/>
      <c r="Z115" s="296" t="s">
        <v>1087</v>
      </c>
      <c r="AA115" s="165" t="s">
        <v>1266</v>
      </c>
      <c r="AB115" s="165" t="s">
        <v>1209</v>
      </c>
      <c r="AC115" s="117"/>
      <c r="AD11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1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1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1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15"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15"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15" s="10">
        <f t="shared" si="8"/>
        <v>0</v>
      </c>
      <c r="AK115" s="10">
        <f t="shared" si="13"/>
        <v>0</v>
      </c>
      <c r="AL115" s="10">
        <f t="shared" si="9"/>
        <v>0</v>
      </c>
      <c r="AM115" s="6"/>
    </row>
    <row r="116" spans="1:39" ht="31.5" customHeight="1">
      <c r="A116" s="21" t="s">
        <v>231</v>
      </c>
      <c r="B116" s="21" t="s">
        <v>360</v>
      </c>
      <c r="C116" s="126" t="s">
        <v>436</v>
      </c>
      <c r="D116" s="129"/>
      <c r="E116" s="27"/>
      <c r="F116" s="126" t="s">
        <v>600</v>
      </c>
      <c r="G116" s="126" t="s">
        <v>601</v>
      </c>
      <c r="H116" s="78" t="s">
        <v>382</v>
      </c>
      <c r="I116" s="108" t="s">
        <v>7</v>
      </c>
      <c r="J116" s="108" t="s">
        <v>8</v>
      </c>
      <c r="K116" s="108" t="s">
        <v>7</v>
      </c>
      <c r="L116" s="97" t="s">
        <v>449</v>
      </c>
      <c r="M116" s="108">
        <v>2015</v>
      </c>
      <c r="N116" s="155">
        <v>2017</v>
      </c>
      <c r="O116" s="142"/>
      <c r="P116" s="127"/>
      <c r="Q116" s="254"/>
      <c r="R116" s="141"/>
      <c r="S116" s="141"/>
      <c r="T116" s="141"/>
      <c r="U116" s="142"/>
      <c r="V116" s="142"/>
      <c r="W116" s="1" t="s">
        <v>1329</v>
      </c>
      <c r="X116" s="108"/>
      <c r="Y116" s="108"/>
      <c r="Z116" s="296" t="s">
        <v>1087</v>
      </c>
      <c r="AA116" s="165" t="s">
        <v>1266</v>
      </c>
      <c r="AB116" s="165" t="s">
        <v>1209</v>
      </c>
      <c r="AC116" s="117"/>
      <c r="AD11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1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1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1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16"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16"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16" s="10">
        <f t="shared" si="8"/>
        <v>0</v>
      </c>
      <c r="AK116" s="10">
        <f t="shared" si="13"/>
        <v>0</v>
      </c>
      <c r="AL116" s="10">
        <f t="shared" si="9"/>
        <v>0</v>
      </c>
      <c r="AM116" s="6"/>
    </row>
    <row r="117" spans="1:39" ht="31.5" customHeight="1">
      <c r="A117" s="21" t="s">
        <v>231</v>
      </c>
      <c r="B117" s="21" t="s">
        <v>360</v>
      </c>
      <c r="C117" s="126" t="s">
        <v>436</v>
      </c>
      <c r="D117" s="129"/>
      <c r="E117" s="27"/>
      <c r="F117" s="126" t="s">
        <v>602</v>
      </c>
      <c r="G117" s="126" t="s">
        <v>601</v>
      </c>
      <c r="H117" s="78" t="s">
        <v>382</v>
      </c>
      <c r="I117" s="108" t="s">
        <v>7</v>
      </c>
      <c r="J117" s="108" t="s">
        <v>8</v>
      </c>
      <c r="K117" s="108" t="s">
        <v>7</v>
      </c>
      <c r="L117" s="97" t="s">
        <v>449</v>
      </c>
      <c r="M117" s="108">
        <v>2016</v>
      </c>
      <c r="N117" s="155">
        <v>2018</v>
      </c>
      <c r="O117" s="142"/>
      <c r="P117" s="127"/>
      <c r="Q117" s="254"/>
      <c r="R117" s="141"/>
      <c r="S117" s="141"/>
      <c r="T117" s="141"/>
      <c r="U117" s="142"/>
      <c r="V117" s="142"/>
      <c r="W117" s="1" t="s">
        <v>1329</v>
      </c>
      <c r="X117" s="108"/>
      <c r="Y117" s="108"/>
      <c r="Z117" s="296" t="s">
        <v>1087</v>
      </c>
      <c r="AA117" s="165" t="s">
        <v>1266</v>
      </c>
      <c r="AB117" s="165" t="s">
        <v>1209</v>
      </c>
      <c r="AC117" s="117"/>
      <c r="AD11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1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1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1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17"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17"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17" s="10">
        <f t="shared" si="8"/>
        <v>0</v>
      </c>
      <c r="AK117" s="10">
        <f t="shared" si="13"/>
        <v>0</v>
      </c>
      <c r="AL117" s="10">
        <f t="shared" si="9"/>
        <v>0</v>
      </c>
      <c r="AM117" s="6"/>
    </row>
    <row r="118" spans="1:39" ht="31.5" customHeight="1">
      <c r="A118" s="21" t="s">
        <v>231</v>
      </c>
      <c r="B118" s="21" t="s">
        <v>360</v>
      </c>
      <c r="C118" s="126" t="s">
        <v>436</v>
      </c>
      <c r="D118" s="129"/>
      <c r="E118" s="27"/>
      <c r="F118" s="126" t="s">
        <v>603</v>
      </c>
      <c r="G118" s="126" t="s">
        <v>601</v>
      </c>
      <c r="H118" s="78" t="s">
        <v>382</v>
      </c>
      <c r="I118" s="108" t="s">
        <v>7</v>
      </c>
      <c r="J118" s="108" t="s">
        <v>8</v>
      </c>
      <c r="K118" s="108" t="s">
        <v>7</v>
      </c>
      <c r="L118" s="97" t="s">
        <v>449</v>
      </c>
      <c r="M118" s="108">
        <v>2017</v>
      </c>
      <c r="N118" s="155">
        <v>2019</v>
      </c>
      <c r="O118" s="142"/>
      <c r="P118" s="127"/>
      <c r="Q118" s="254"/>
      <c r="R118" s="141"/>
      <c r="S118" s="141"/>
      <c r="T118" s="141"/>
      <c r="U118" s="142"/>
      <c r="V118" s="142"/>
      <c r="W118" s="1" t="s">
        <v>1329</v>
      </c>
      <c r="X118" s="108"/>
      <c r="Y118" s="108"/>
      <c r="Z118" s="296" t="s">
        <v>1087</v>
      </c>
      <c r="AA118" s="165" t="s">
        <v>1266</v>
      </c>
      <c r="AB118" s="165" t="s">
        <v>1209</v>
      </c>
      <c r="AC118" s="117"/>
      <c r="AD11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1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1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1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18"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18"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18" s="10">
        <f t="shared" si="8"/>
        <v>0</v>
      </c>
      <c r="AK118" s="10">
        <f t="shared" si="13"/>
        <v>0</v>
      </c>
      <c r="AL118" s="10">
        <f t="shared" si="9"/>
        <v>0</v>
      </c>
      <c r="AM118" s="6"/>
    </row>
    <row r="119" spans="1:39" ht="31.5" customHeight="1">
      <c r="A119" s="21" t="s">
        <v>231</v>
      </c>
      <c r="B119" s="21" t="s">
        <v>360</v>
      </c>
      <c r="C119" s="126" t="s">
        <v>436</v>
      </c>
      <c r="D119" s="129"/>
      <c r="E119" s="27"/>
      <c r="F119" s="126" t="s">
        <v>604</v>
      </c>
      <c r="G119" s="126" t="s">
        <v>605</v>
      </c>
      <c r="H119" s="78" t="s">
        <v>382</v>
      </c>
      <c r="I119" s="108" t="s">
        <v>7</v>
      </c>
      <c r="J119" s="108" t="s">
        <v>8</v>
      </c>
      <c r="K119" s="108" t="s">
        <v>7</v>
      </c>
      <c r="L119" s="97" t="s">
        <v>444</v>
      </c>
      <c r="M119" s="108">
        <v>2017</v>
      </c>
      <c r="N119" s="155">
        <v>2019</v>
      </c>
      <c r="O119" s="142"/>
      <c r="P119" s="127"/>
      <c r="Q119" s="254"/>
      <c r="R119" s="141"/>
      <c r="S119" s="141"/>
      <c r="T119" s="141"/>
      <c r="U119" s="142"/>
      <c r="V119" s="142"/>
      <c r="W119" s="1" t="s">
        <v>1329</v>
      </c>
      <c r="X119" s="108"/>
      <c r="Y119" s="108"/>
      <c r="Z119" s="296" t="s">
        <v>1087</v>
      </c>
      <c r="AA119" s="165" t="s">
        <v>1266</v>
      </c>
      <c r="AB119" s="165" t="s">
        <v>1209</v>
      </c>
      <c r="AC119" s="117"/>
      <c r="AD11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1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1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1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19"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19"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19" s="10">
        <f t="shared" si="8"/>
        <v>0</v>
      </c>
      <c r="AK119" s="10">
        <f t="shared" si="13"/>
        <v>0</v>
      </c>
      <c r="AL119" s="10">
        <f t="shared" si="9"/>
        <v>0</v>
      </c>
      <c r="AM119" s="6"/>
    </row>
    <row r="120" spans="1:39" ht="31.5" customHeight="1">
      <c r="A120" s="21" t="s">
        <v>231</v>
      </c>
      <c r="B120" s="21" t="s">
        <v>360</v>
      </c>
      <c r="C120" s="126" t="s">
        <v>436</v>
      </c>
      <c r="D120" s="129"/>
      <c r="E120" s="27"/>
      <c r="F120" s="126" t="s">
        <v>604</v>
      </c>
      <c r="G120" s="126" t="s">
        <v>605</v>
      </c>
      <c r="H120" s="78" t="s">
        <v>382</v>
      </c>
      <c r="I120" s="108" t="s">
        <v>7</v>
      </c>
      <c r="J120" s="108" t="s">
        <v>8</v>
      </c>
      <c r="K120" s="108" t="s">
        <v>7</v>
      </c>
      <c r="L120" s="97" t="s">
        <v>444</v>
      </c>
      <c r="M120" s="108">
        <v>2018</v>
      </c>
      <c r="N120" s="155">
        <v>2020</v>
      </c>
      <c r="O120" s="142"/>
      <c r="P120" s="127"/>
      <c r="Q120" s="254"/>
      <c r="R120" s="141"/>
      <c r="S120" s="141"/>
      <c r="T120" s="141"/>
      <c r="U120" s="142"/>
      <c r="V120" s="142"/>
      <c r="W120" s="1" t="s">
        <v>1329</v>
      </c>
      <c r="X120" s="108"/>
      <c r="Y120" s="108"/>
      <c r="Z120" s="296" t="s">
        <v>1087</v>
      </c>
      <c r="AA120" s="165" t="s">
        <v>1266</v>
      </c>
      <c r="AB120" s="165" t="s">
        <v>1209</v>
      </c>
      <c r="AC120" s="117"/>
      <c r="AD12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2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2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2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20"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20"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20" s="10">
        <f t="shared" si="8"/>
        <v>0</v>
      </c>
      <c r="AK120" s="10">
        <f t="shared" si="13"/>
        <v>0</v>
      </c>
      <c r="AL120" s="10">
        <f t="shared" si="9"/>
        <v>0</v>
      </c>
      <c r="AM120" s="6"/>
    </row>
    <row r="121" spans="1:39" ht="31.5" customHeight="1">
      <c r="A121" s="21" t="s">
        <v>231</v>
      </c>
      <c r="B121" s="21" t="s">
        <v>360</v>
      </c>
      <c r="C121" s="126" t="s">
        <v>436</v>
      </c>
      <c r="D121" s="129"/>
      <c r="E121" s="27"/>
      <c r="F121" s="126" t="s">
        <v>604</v>
      </c>
      <c r="G121" s="126" t="s">
        <v>605</v>
      </c>
      <c r="H121" s="78" t="s">
        <v>382</v>
      </c>
      <c r="I121" s="108" t="s">
        <v>7</v>
      </c>
      <c r="J121" s="108" t="s">
        <v>8</v>
      </c>
      <c r="K121" s="108" t="s">
        <v>7</v>
      </c>
      <c r="L121" s="97" t="s">
        <v>444</v>
      </c>
      <c r="M121" s="108">
        <v>2016</v>
      </c>
      <c r="N121" s="155">
        <v>2018</v>
      </c>
      <c r="O121" s="142"/>
      <c r="P121" s="127"/>
      <c r="Q121" s="254"/>
      <c r="R121" s="141"/>
      <c r="S121" s="141"/>
      <c r="T121" s="141"/>
      <c r="U121" s="142"/>
      <c r="V121" s="142"/>
      <c r="W121" s="1" t="s">
        <v>1329</v>
      </c>
      <c r="X121" s="108"/>
      <c r="Y121" s="108"/>
      <c r="Z121" s="296" t="s">
        <v>1087</v>
      </c>
      <c r="AA121" s="165" t="s">
        <v>1266</v>
      </c>
      <c r="AB121" s="165" t="s">
        <v>1209</v>
      </c>
      <c r="AC121" s="117"/>
      <c r="AD12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2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2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2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21"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21"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21" s="10">
        <f t="shared" si="8"/>
        <v>0</v>
      </c>
      <c r="AK121" s="10">
        <f t="shared" si="13"/>
        <v>0</v>
      </c>
      <c r="AL121" s="10">
        <f t="shared" si="9"/>
        <v>0</v>
      </c>
      <c r="AM121" s="6"/>
    </row>
    <row r="122" spans="1:39" ht="31.5" customHeight="1">
      <c r="A122" s="21" t="s">
        <v>231</v>
      </c>
      <c r="B122" s="21" t="s">
        <v>360</v>
      </c>
      <c r="C122" s="126" t="s">
        <v>436</v>
      </c>
      <c r="D122" s="129"/>
      <c r="E122" s="27"/>
      <c r="F122" s="126" t="s">
        <v>1207</v>
      </c>
      <c r="G122" s="126" t="s">
        <v>1208</v>
      </c>
      <c r="H122" s="78" t="s">
        <v>382</v>
      </c>
      <c r="I122" s="108" t="s">
        <v>7</v>
      </c>
      <c r="J122" s="108" t="s">
        <v>8</v>
      </c>
      <c r="K122" s="108" t="s">
        <v>7</v>
      </c>
      <c r="L122" s="97" t="s">
        <v>444</v>
      </c>
      <c r="M122" s="108">
        <v>2016</v>
      </c>
      <c r="N122" s="155">
        <v>2018</v>
      </c>
      <c r="O122" s="142"/>
      <c r="P122" s="127"/>
      <c r="Q122" s="254"/>
      <c r="R122" s="141"/>
      <c r="S122" s="141"/>
      <c r="T122" s="141"/>
      <c r="U122" s="142"/>
      <c r="V122" s="142"/>
      <c r="W122" s="1" t="s">
        <v>1329</v>
      </c>
      <c r="X122" s="108"/>
      <c r="Y122" s="108"/>
      <c r="Z122" s="296" t="s">
        <v>1087</v>
      </c>
      <c r="AA122" s="165" t="s">
        <v>1266</v>
      </c>
      <c r="AB122" s="165" t="s">
        <v>1209</v>
      </c>
      <c r="AC122" s="117"/>
      <c r="AD12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2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2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2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22"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22"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22" s="10">
        <f t="shared" si="8"/>
        <v>0</v>
      </c>
      <c r="AK122" s="10">
        <f t="shared" ref="AK122" si="15">+SUM(AH122:AI122)</f>
        <v>0</v>
      </c>
      <c r="AL122" s="10">
        <f t="shared" si="9"/>
        <v>0</v>
      </c>
      <c r="AM122" s="6"/>
    </row>
    <row r="123" spans="1:39" s="49" customFormat="1" ht="31.5" customHeight="1">
      <c r="A123" s="69" t="s">
        <v>231</v>
      </c>
      <c r="B123" s="69" t="s">
        <v>360</v>
      </c>
      <c r="C123" s="70" t="s">
        <v>437</v>
      </c>
      <c r="D123" s="70"/>
      <c r="E123" s="71"/>
      <c r="F123" s="70" t="s">
        <v>1001</v>
      </c>
      <c r="G123" s="70"/>
      <c r="H123" s="73" t="s">
        <v>382</v>
      </c>
      <c r="I123" s="107" t="s">
        <v>7</v>
      </c>
      <c r="J123" s="107" t="s">
        <v>8</v>
      </c>
      <c r="K123" s="107" t="s">
        <v>7</v>
      </c>
      <c r="L123" s="73" t="s">
        <v>444</v>
      </c>
      <c r="M123" s="99" t="s">
        <v>29</v>
      </c>
      <c r="N123" s="99" t="s">
        <v>29</v>
      </c>
      <c r="O123" s="139">
        <v>25803.3</v>
      </c>
      <c r="P123" s="74"/>
      <c r="Q123" s="253"/>
      <c r="R123" s="139"/>
      <c r="S123" s="140"/>
      <c r="T123" s="143"/>
      <c r="U123" s="139">
        <v>7106.52</v>
      </c>
      <c r="V123" s="157">
        <v>18696.78</v>
      </c>
      <c r="W123" s="52" t="s">
        <v>1329</v>
      </c>
      <c r="X123" s="122" t="s">
        <v>19</v>
      </c>
      <c r="Y123" s="113" t="s">
        <v>249</v>
      </c>
      <c r="Z123" s="297"/>
      <c r="AA123" s="165" t="s">
        <v>1266</v>
      </c>
      <c r="AB123" s="165" t="s">
        <v>1209</v>
      </c>
      <c r="AC123" s="117" t="s">
        <v>10</v>
      </c>
      <c r="AD12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2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2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2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23"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7106.52</v>
      </c>
      <c r="AI123"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18696.78</v>
      </c>
      <c r="AJ123" s="10">
        <f t="shared" si="8"/>
        <v>0</v>
      </c>
      <c r="AK123" s="10">
        <f t="shared" si="13"/>
        <v>25803.3</v>
      </c>
      <c r="AL123" s="10">
        <f t="shared" si="9"/>
        <v>25803.3</v>
      </c>
    </row>
    <row r="124" spans="1:39" s="49" customFormat="1" ht="31.5" customHeight="1">
      <c r="A124" s="69" t="s">
        <v>231</v>
      </c>
      <c r="B124" s="69" t="s">
        <v>360</v>
      </c>
      <c r="C124" s="70" t="s">
        <v>437</v>
      </c>
      <c r="D124" s="70"/>
      <c r="E124" s="71"/>
      <c r="F124" s="70" t="s">
        <v>1003</v>
      </c>
      <c r="G124" s="70"/>
      <c r="H124" s="73" t="s">
        <v>382</v>
      </c>
      <c r="I124" s="107" t="s">
        <v>7</v>
      </c>
      <c r="J124" s="107" t="s">
        <v>8</v>
      </c>
      <c r="K124" s="107" t="s">
        <v>7</v>
      </c>
      <c r="L124" s="73" t="s">
        <v>1032</v>
      </c>
      <c r="M124" s="99" t="s">
        <v>29</v>
      </c>
      <c r="N124" s="99" t="s">
        <v>29</v>
      </c>
      <c r="O124" s="139">
        <v>6068</v>
      </c>
      <c r="P124" s="74"/>
      <c r="Q124" s="253"/>
      <c r="R124" s="139"/>
      <c r="S124" s="140">
        <v>138.75</v>
      </c>
      <c r="T124" s="143">
        <v>450.5</v>
      </c>
      <c r="U124" s="139">
        <v>4640.43</v>
      </c>
      <c r="V124" s="157">
        <v>838.58</v>
      </c>
      <c r="W124" s="52" t="s">
        <v>1329</v>
      </c>
      <c r="X124" s="122" t="s">
        <v>19</v>
      </c>
      <c r="Y124" s="113" t="s">
        <v>249</v>
      </c>
      <c r="Z124" s="297"/>
      <c r="AA124" s="165" t="s">
        <v>1266</v>
      </c>
      <c r="AB124" s="165" t="s">
        <v>1209</v>
      </c>
      <c r="AC124" s="117" t="s">
        <v>10</v>
      </c>
      <c r="AD12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2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2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138.75</v>
      </c>
      <c r="AG12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450.5</v>
      </c>
      <c r="AH124"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4640.43</v>
      </c>
      <c r="AI124"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838.58</v>
      </c>
      <c r="AJ124" s="10">
        <f t="shared" si="8"/>
        <v>589.25</v>
      </c>
      <c r="AK124" s="10">
        <f>+SUM(AH124:AI124)</f>
        <v>5479.01</v>
      </c>
      <c r="AL124" s="10">
        <f t="shared" si="9"/>
        <v>6068.26</v>
      </c>
    </row>
    <row r="125" spans="1:39" s="49" customFormat="1" ht="31.5" customHeight="1">
      <c r="A125" s="69" t="s">
        <v>231</v>
      </c>
      <c r="B125" s="69" t="s">
        <v>360</v>
      </c>
      <c r="C125" s="70" t="s">
        <v>437</v>
      </c>
      <c r="D125" s="70"/>
      <c r="E125" s="71"/>
      <c r="F125" s="70" t="s">
        <v>1002</v>
      </c>
      <c r="G125" s="70"/>
      <c r="H125" s="73" t="s">
        <v>382</v>
      </c>
      <c r="I125" s="107" t="s">
        <v>7</v>
      </c>
      <c r="J125" s="107" t="s">
        <v>8</v>
      </c>
      <c r="K125" s="107" t="s">
        <v>7</v>
      </c>
      <c r="L125" s="73" t="s">
        <v>449</v>
      </c>
      <c r="M125" s="99" t="s">
        <v>29</v>
      </c>
      <c r="N125" s="99" t="s">
        <v>29</v>
      </c>
      <c r="O125" s="139">
        <v>8012</v>
      </c>
      <c r="P125" s="74"/>
      <c r="Q125" s="253">
        <v>144</v>
      </c>
      <c r="R125" s="139">
        <v>268.8</v>
      </c>
      <c r="S125" s="140">
        <v>246.4</v>
      </c>
      <c r="T125" s="143">
        <v>1539.6</v>
      </c>
      <c r="U125" s="139">
        <v>4133.2</v>
      </c>
      <c r="V125" s="157">
        <v>1680</v>
      </c>
      <c r="W125" s="52" t="s">
        <v>1329</v>
      </c>
      <c r="X125" s="122" t="s">
        <v>19</v>
      </c>
      <c r="Y125" s="113" t="s">
        <v>249</v>
      </c>
      <c r="Z125" s="297"/>
      <c r="AA125" s="165" t="s">
        <v>1266</v>
      </c>
      <c r="AB125" s="165" t="s">
        <v>1209</v>
      </c>
      <c r="AC125" s="117" t="s">
        <v>10</v>
      </c>
      <c r="AD12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144</v>
      </c>
      <c r="AE12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268.8</v>
      </c>
      <c r="AF12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246.4</v>
      </c>
      <c r="AG12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1539.6</v>
      </c>
      <c r="AH125"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4133.2</v>
      </c>
      <c r="AI125"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1680</v>
      </c>
      <c r="AJ125" s="10">
        <f t="shared" si="8"/>
        <v>2198.8000000000002</v>
      </c>
      <c r="AK125" s="10">
        <f>+SUM(AH125:AI125)</f>
        <v>5813.2</v>
      </c>
      <c r="AL125" s="10">
        <f t="shared" si="9"/>
        <v>7868</v>
      </c>
    </row>
    <row r="126" spans="1:39" s="49" customFormat="1" ht="31.5" customHeight="1">
      <c r="A126" s="69" t="s">
        <v>231</v>
      </c>
      <c r="B126" s="69" t="s">
        <v>360</v>
      </c>
      <c r="C126" s="70" t="s">
        <v>437</v>
      </c>
      <c r="D126" s="70"/>
      <c r="E126" s="71"/>
      <c r="F126" s="70" t="s">
        <v>1008</v>
      </c>
      <c r="G126" s="70"/>
      <c r="H126" s="73" t="s">
        <v>382</v>
      </c>
      <c r="I126" s="107" t="s">
        <v>7</v>
      </c>
      <c r="J126" s="107" t="s">
        <v>8</v>
      </c>
      <c r="K126" s="107" t="s">
        <v>7</v>
      </c>
      <c r="L126" s="73" t="s">
        <v>1054</v>
      </c>
      <c r="M126" s="99" t="s">
        <v>29</v>
      </c>
      <c r="N126" s="99" t="s">
        <v>29</v>
      </c>
      <c r="O126" s="139">
        <v>3541</v>
      </c>
      <c r="P126" s="74"/>
      <c r="Q126" s="253">
        <v>1055.75</v>
      </c>
      <c r="R126" s="139">
        <v>1378.25</v>
      </c>
      <c r="S126" s="140">
        <v>942.75</v>
      </c>
      <c r="T126" s="143">
        <v>164.25</v>
      </c>
      <c r="U126" s="139"/>
      <c r="V126" s="157"/>
      <c r="W126" s="52" t="s">
        <v>1329</v>
      </c>
      <c r="X126" s="122" t="s">
        <v>19</v>
      </c>
      <c r="Y126" s="113" t="s">
        <v>249</v>
      </c>
      <c r="Z126" s="297"/>
      <c r="AA126" s="165" t="s">
        <v>1266</v>
      </c>
      <c r="AB126" s="165" t="s">
        <v>1209</v>
      </c>
      <c r="AC126" s="117" t="s">
        <v>10</v>
      </c>
      <c r="AD12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1055.75</v>
      </c>
      <c r="AE12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1378.25</v>
      </c>
      <c r="AF12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942.75</v>
      </c>
      <c r="AG12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164.25</v>
      </c>
      <c r="AH126"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26"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26" s="10">
        <f t="shared" si="8"/>
        <v>3541</v>
      </c>
      <c r="AK126" s="10">
        <f>+SUM(AH126:AI126)</f>
        <v>0</v>
      </c>
      <c r="AL126" s="10">
        <f t="shared" si="9"/>
        <v>2485.25</v>
      </c>
    </row>
    <row r="127" spans="1:39" ht="31.5" customHeight="1">
      <c r="A127" s="21" t="s">
        <v>231</v>
      </c>
      <c r="B127" s="21" t="s">
        <v>360</v>
      </c>
      <c r="C127" s="126" t="s">
        <v>437</v>
      </c>
      <c r="D127" s="129"/>
      <c r="E127" s="27"/>
      <c r="F127" s="126" t="s">
        <v>495</v>
      </c>
      <c r="G127" s="126"/>
      <c r="H127" s="1" t="s">
        <v>382</v>
      </c>
      <c r="I127" s="108" t="s">
        <v>7</v>
      </c>
      <c r="J127" s="108" t="s">
        <v>8</v>
      </c>
      <c r="K127" s="108" t="s">
        <v>7</v>
      </c>
      <c r="L127" s="97" t="s">
        <v>449</v>
      </c>
      <c r="M127" s="108">
        <v>2013</v>
      </c>
      <c r="N127" s="155">
        <v>2016</v>
      </c>
      <c r="O127" s="142"/>
      <c r="P127" s="127"/>
      <c r="Q127" s="254"/>
      <c r="R127" s="141"/>
      <c r="S127" s="141"/>
      <c r="T127" s="141"/>
      <c r="U127" s="142"/>
      <c r="V127" s="142"/>
      <c r="W127" s="1" t="s">
        <v>1329</v>
      </c>
      <c r="X127" s="108"/>
      <c r="Y127" s="108"/>
      <c r="Z127" s="296" t="s">
        <v>1087</v>
      </c>
      <c r="AA127" s="165" t="s">
        <v>1266</v>
      </c>
      <c r="AB127" s="165" t="s">
        <v>1209</v>
      </c>
      <c r="AC127" s="117"/>
      <c r="AD12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2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2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2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27"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27"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27" s="10">
        <f t="shared" si="8"/>
        <v>0</v>
      </c>
      <c r="AK127" s="10">
        <f t="shared" si="13"/>
        <v>0</v>
      </c>
      <c r="AL127" s="10">
        <f t="shared" si="9"/>
        <v>0</v>
      </c>
      <c r="AM127" s="6"/>
    </row>
    <row r="128" spans="1:39" ht="31.5" customHeight="1">
      <c r="A128" s="21" t="s">
        <v>231</v>
      </c>
      <c r="B128" s="21" t="s">
        <v>360</v>
      </c>
      <c r="C128" s="126" t="s">
        <v>437</v>
      </c>
      <c r="D128" s="129"/>
      <c r="E128" s="27"/>
      <c r="F128" s="126" t="s">
        <v>458</v>
      </c>
      <c r="G128" s="126"/>
      <c r="H128" s="1" t="s">
        <v>382</v>
      </c>
      <c r="I128" s="108" t="s">
        <v>7</v>
      </c>
      <c r="J128" s="108" t="s">
        <v>8</v>
      </c>
      <c r="K128" s="108" t="s">
        <v>7</v>
      </c>
      <c r="L128" s="97" t="s">
        <v>444</v>
      </c>
      <c r="M128" s="108">
        <v>2021</v>
      </c>
      <c r="N128" s="155">
        <v>2024</v>
      </c>
      <c r="O128" s="142"/>
      <c r="P128" s="127"/>
      <c r="Q128" s="254"/>
      <c r="R128" s="141"/>
      <c r="S128" s="141"/>
      <c r="T128" s="141"/>
      <c r="U128" s="142"/>
      <c r="V128" s="142"/>
      <c r="W128" s="1" t="s">
        <v>1329</v>
      </c>
      <c r="X128" s="108"/>
      <c r="Y128" s="108"/>
      <c r="Z128" s="296" t="s">
        <v>1087</v>
      </c>
      <c r="AA128" s="165" t="s">
        <v>1266</v>
      </c>
      <c r="AB128" s="165" t="s">
        <v>1209</v>
      </c>
      <c r="AC128" s="117"/>
      <c r="AD12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2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2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2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28"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28"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28" s="10">
        <f t="shared" si="8"/>
        <v>0</v>
      </c>
      <c r="AK128" s="10">
        <f t="shared" si="13"/>
        <v>0</v>
      </c>
      <c r="AL128" s="10">
        <f t="shared" si="9"/>
        <v>0</v>
      </c>
      <c r="AM128" s="6"/>
    </row>
    <row r="129" spans="1:39" ht="31.5" customHeight="1">
      <c r="A129" s="21" t="s">
        <v>231</v>
      </c>
      <c r="B129" s="21" t="s">
        <v>360</v>
      </c>
      <c r="C129" s="126" t="s">
        <v>437</v>
      </c>
      <c r="D129" s="129"/>
      <c r="E129" s="27"/>
      <c r="F129" s="126" t="s">
        <v>448</v>
      </c>
      <c r="G129" s="126"/>
      <c r="H129" s="1" t="s">
        <v>382</v>
      </c>
      <c r="I129" s="108" t="s">
        <v>7</v>
      </c>
      <c r="J129" s="108" t="s">
        <v>8</v>
      </c>
      <c r="K129" s="108" t="s">
        <v>7</v>
      </c>
      <c r="L129" s="97" t="s">
        <v>449</v>
      </c>
      <c r="M129" s="108">
        <v>2015</v>
      </c>
      <c r="N129" s="155">
        <v>2018</v>
      </c>
      <c r="O129" s="142"/>
      <c r="P129" s="127"/>
      <c r="Q129" s="254"/>
      <c r="R129" s="141"/>
      <c r="S129" s="141"/>
      <c r="T129" s="141"/>
      <c r="U129" s="142"/>
      <c r="V129" s="142"/>
      <c r="W129" s="1" t="s">
        <v>1329</v>
      </c>
      <c r="X129" s="108"/>
      <c r="Y129" s="108"/>
      <c r="Z129" s="296" t="s">
        <v>1087</v>
      </c>
      <c r="AA129" s="165" t="s">
        <v>1266</v>
      </c>
      <c r="AB129" s="165" t="s">
        <v>1209</v>
      </c>
      <c r="AC129" s="117"/>
      <c r="AD12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2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2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2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29"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29"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29" s="10">
        <f t="shared" si="8"/>
        <v>0</v>
      </c>
      <c r="AK129" s="10">
        <f t="shared" si="13"/>
        <v>0</v>
      </c>
      <c r="AL129" s="10">
        <f t="shared" si="9"/>
        <v>0</v>
      </c>
      <c r="AM129" s="6"/>
    </row>
    <row r="130" spans="1:39" ht="31.5" customHeight="1">
      <c r="A130" s="21" t="s">
        <v>231</v>
      </c>
      <c r="B130" s="21" t="s">
        <v>360</v>
      </c>
      <c r="C130" s="126" t="s">
        <v>437</v>
      </c>
      <c r="D130" s="129"/>
      <c r="E130" s="27"/>
      <c r="F130" s="126" t="s">
        <v>459</v>
      </c>
      <c r="G130" s="126" t="s">
        <v>460</v>
      </c>
      <c r="H130" s="1" t="s">
        <v>382</v>
      </c>
      <c r="I130" s="108" t="s">
        <v>7</v>
      </c>
      <c r="J130" s="108" t="s">
        <v>8</v>
      </c>
      <c r="K130" s="108" t="s">
        <v>7</v>
      </c>
      <c r="L130" s="97" t="s">
        <v>1032</v>
      </c>
      <c r="M130" s="108">
        <v>2015</v>
      </c>
      <c r="N130" s="155">
        <v>2018</v>
      </c>
      <c r="O130" s="142"/>
      <c r="P130" s="127"/>
      <c r="Q130" s="254"/>
      <c r="R130" s="141"/>
      <c r="S130" s="141"/>
      <c r="T130" s="141"/>
      <c r="U130" s="142"/>
      <c r="V130" s="142"/>
      <c r="W130" s="1" t="s">
        <v>1329</v>
      </c>
      <c r="X130" s="108"/>
      <c r="Y130" s="108"/>
      <c r="Z130" s="296" t="s">
        <v>1087</v>
      </c>
      <c r="AA130" s="165" t="s">
        <v>1266</v>
      </c>
      <c r="AB130" s="165" t="s">
        <v>1209</v>
      </c>
      <c r="AC130" s="117"/>
      <c r="AD13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3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3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3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30"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30"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30" s="10">
        <f t="shared" ref="AJ130:AJ193" si="16">SUM(AD130:AG130)</f>
        <v>0</v>
      </c>
      <c r="AK130" s="10">
        <f t="shared" si="13"/>
        <v>0</v>
      </c>
      <c r="AL130" s="10">
        <f t="shared" ref="AL130:AL193" si="17">+AJ130+AK130-AD130</f>
        <v>0</v>
      </c>
      <c r="AM130" s="6"/>
    </row>
    <row r="131" spans="1:39" ht="31.5" customHeight="1">
      <c r="A131" s="21" t="s">
        <v>231</v>
      </c>
      <c r="B131" s="21" t="s">
        <v>360</v>
      </c>
      <c r="C131" s="126" t="s">
        <v>437</v>
      </c>
      <c r="D131" s="129"/>
      <c r="E131" s="27"/>
      <c r="F131" s="126" t="s">
        <v>464</v>
      </c>
      <c r="G131" s="126"/>
      <c r="H131" s="1" t="s">
        <v>382</v>
      </c>
      <c r="I131" s="108" t="s">
        <v>7</v>
      </c>
      <c r="J131" s="108" t="s">
        <v>8</v>
      </c>
      <c r="K131" s="108" t="s">
        <v>7</v>
      </c>
      <c r="L131" s="97" t="s">
        <v>444</v>
      </c>
      <c r="M131" s="108">
        <v>2022</v>
      </c>
      <c r="N131" s="155">
        <v>2025</v>
      </c>
      <c r="O131" s="142"/>
      <c r="P131" s="127"/>
      <c r="Q131" s="254"/>
      <c r="R131" s="141"/>
      <c r="S131" s="141"/>
      <c r="T131" s="141"/>
      <c r="U131" s="142"/>
      <c r="V131" s="142"/>
      <c r="W131" s="1" t="s">
        <v>1329</v>
      </c>
      <c r="X131" s="108"/>
      <c r="Y131" s="108"/>
      <c r="Z131" s="296" t="s">
        <v>1087</v>
      </c>
      <c r="AA131" s="165" t="s">
        <v>1266</v>
      </c>
      <c r="AB131" s="165" t="s">
        <v>1209</v>
      </c>
      <c r="AC131" s="117"/>
      <c r="AD13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3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3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3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31"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31"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31" s="10">
        <f t="shared" si="16"/>
        <v>0</v>
      </c>
      <c r="AK131" s="10">
        <f t="shared" si="13"/>
        <v>0</v>
      </c>
      <c r="AL131" s="10">
        <f t="shared" si="17"/>
        <v>0</v>
      </c>
      <c r="AM131" s="6"/>
    </row>
    <row r="132" spans="1:39" ht="31.5" customHeight="1">
      <c r="A132" s="21" t="s">
        <v>231</v>
      </c>
      <c r="B132" s="21" t="s">
        <v>360</v>
      </c>
      <c r="C132" s="126" t="s">
        <v>437</v>
      </c>
      <c r="D132" s="129"/>
      <c r="E132" s="27"/>
      <c r="F132" s="126" t="s">
        <v>463</v>
      </c>
      <c r="G132" s="126"/>
      <c r="H132" s="1" t="s">
        <v>382</v>
      </c>
      <c r="I132" s="108" t="s">
        <v>7</v>
      </c>
      <c r="J132" s="108" t="s">
        <v>8</v>
      </c>
      <c r="K132" s="108" t="s">
        <v>7</v>
      </c>
      <c r="L132" s="97" t="s">
        <v>444</v>
      </c>
      <c r="M132" s="108">
        <v>2022</v>
      </c>
      <c r="N132" s="155">
        <v>2025</v>
      </c>
      <c r="O132" s="142"/>
      <c r="P132" s="127"/>
      <c r="Q132" s="254"/>
      <c r="R132" s="141"/>
      <c r="S132" s="141"/>
      <c r="T132" s="141"/>
      <c r="U132" s="142"/>
      <c r="V132" s="142"/>
      <c r="W132" s="1" t="s">
        <v>1329</v>
      </c>
      <c r="X132" s="108"/>
      <c r="Y132" s="108"/>
      <c r="Z132" s="296" t="s">
        <v>1087</v>
      </c>
      <c r="AA132" s="165" t="s">
        <v>1266</v>
      </c>
      <c r="AB132" s="165" t="s">
        <v>1209</v>
      </c>
      <c r="AC132" s="117"/>
      <c r="AD13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3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3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3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32"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32"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32" s="10">
        <f t="shared" si="16"/>
        <v>0</v>
      </c>
      <c r="AK132" s="10">
        <f t="shared" si="13"/>
        <v>0</v>
      </c>
      <c r="AL132" s="10">
        <f t="shared" si="17"/>
        <v>0</v>
      </c>
      <c r="AM132" s="6"/>
    </row>
    <row r="133" spans="1:39" ht="31.5" customHeight="1">
      <c r="A133" s="21" t="s">
        <v>231</v>
      </c>
      <c r="B133" s="21" t="s">
        <v>360</v>
      </c>
      <c r="C133" s="126" t="s">
        <v>437</v>
      </c>
      <c r="D133" s="129"/>
      <c r="E133" s="27"/>
      <c r="F133" s="126" t="s">
        <v>461</v>
      </c>
      <c r="G133" s="126"/>
      <c r="H133" s="1" t="s">
        <v>382</v>
      </c>
      <c r="I133" s="108" t="s">
        <v>7</v>
      </c>
      <c r="J133" s="108" t="s">
        <v>8</v>
      </c>
      <c r="K133" s="108" t="s">
        <v>7</v>
      </c>
      <c r="L133" s="97" t="s">
        <v>444</v>
      </c>
      <c r="M133" s="108">
        <v>2017</v>
      </c>
      <c r="N133" s="155">
        <v>2020</v>
      </c>
      <c r="O133" s="142"/>
      <c r="P133" s="127"/>
      <c r="Q133" s="254"/>
      <c r="R133" s="141"/>
      <c r="S133" s="141"/>
      <c r="T133" s="141"/>
      <c r="U133" s="142"/>
      <c r="V133" s="142"/>
      <c r="W133" s="1" t="s">
        <v>1329</v>
      </c>
      <c r="X133" s="108"/>
      <c r="Y133" s="108"/>
      <c r="Z133" s="296" t="s">
        <v>1087</v>
      </c>
      <c r="AA133" s="165" t="s">
        <v>1266</v>
      </c>
      <c r="AB133" s="165" t="s">
        <v>1209</v>
      </c>
      <c r="AC133" s="117"/>
      <c r="AD13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3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3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3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33"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33"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33" s="10">
        <f t="shared" si="16"/>
        <v>0</v>
      </c>
      <c r="AK133" s="10">
        <f t="shared" si="13"/>
        <v>0</v>
      </c>
      <c r="AL133" s="10">
        <f t="shared" si="17"/>
        <v>0</v>
      </c>
      <c r="AM133" s="6"/>
    </row>
    <row r="134" spans="1:39" ht="31.5" customHeight="1">
      <c r="A134" s="21" t="s">
        <v>231</v>
      </c>
      <c r="B134" s="21" t="s">
        <v>360</v>
      </c>
      <c r="C134" s="126" t="s">
        <v>437</v>
      </c>
      <c r="D134" s="129"/>
      <c r="E134" s="27"/>
      <c r="F134" s="126" t="s">
        <v>462</v>
      </c>
      <c r="G134" s="126"/>
      <c r="H134" s="1" t="s">
        <v>382</v>
      </c>
      <c r="I134" s="108" t="s">
        <v>7</v>
      </c>
      <c r="J134" s="108" t="s">
        <v>8</v>
      </c>
      <c r="K134" s="108" t="s">
        <v>7</v>
      </c>
      <c r="L134" s="97" t="s">
        <v>444</v>
      </c>
      <c r="M134" s="108">
        <v>2022</v>
      </c>
      <c r="N134" s="155">
        <v>2025</v>
      </c>
      <c r="O134" s="142"/>
      <c r="P134" s="127"/>
      <c r="Q134" s="254"/>
      <c r="R134" s="141"/>
      <c r="S134" s="141"/>
      <c r="T134" s="141"/>
      <c r="U134" s="142"/>
      <c r="V134" s="142"/>
      <c r="W134" s="1" t="s">
        <v>1329</v>
      </c>
      <c r="X134" s="108"/>
      <c r="Y134" s="108"/>
      <c r="Z134" s="296" t="s">
        <v>1087</v>
      </c>
      <c r="AA134" s="165" t="s">
        <v>1266</v>
      </c>
      <c r="AB134" s="165" t="s">
        <v>1209</v>
      </c>
      <c r="AC134" s="117"/>
      <c r="AD13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3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3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3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34"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34"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34" s="10">
        <f t="shared" si="16"/>
        <v>0</v>
      </c>
      <c r="AK134" s="10">
        <f t="shared" si="13"/>
        <v>0</v>
      </c>
      <c r="AL134" s="10">
        <f t="shared" si="17"/>
        <v>0</v>
      </c>
      <c r="AM134" s="6"/>
    </row>
    <row r="135" spans="1:39" ht="31.5" customHeight="1">
      <c r="A135" s="21" t="s">
        <v>231</v>
      </c>
      <c r="B135" s="21" t="s">
        <v>360</v>
      </c>
      <c r="C135" s="126" t="s">
        <v>437</v>
      </c>
      <c r="D135" s="129"/>
      <c r="E135" s="27"/>
      <c r="F135" s="126" t="s">
        <v>465</v>
      </c>
      <c r="G135" s="126"/>
      <c r="H135" s="1" t="s">
        <v>382</v>
      </c>
      <c r="I135" s="108" t="s">
        <v>7</v>
      </c>
      <c r="J135" s="108" t="s">
        <v>8</v>
      </c>
      <c r="K135" s="108" t="s">
        <v>7</v>
      </c>
      <c r="L135" s="97" t="s">
        <v>444</v>
      </c>
      <c r="M135" s="108">
        <v>2018</v>
      </c>
      <c r="N135" s="155">
        <v>2021</v>
      </c>
      <c r="O135" s="142"/>
      <c r="P135" s="127"/>
      <c r="Q135" s="254"/>
      <c r="R135" s="141"/>
      <c r="S135" s="141"/>
      <c r="T135" s="141"/>
      <c r="U135" s="142"/>
      <c r="V135" s="142"/>
      <c r="W135" s="1" t="s">
        <v>1329</v>
      </c>
      <c r="X135" s="108"/>
      <c r="Y135" s="108"/>
      <c r="Z135" s="296" t="s">
        <v>1087</v>
      </c>
      <c r="AA135" s="165" t="s">
        <v>1266</v>
      </c>
      <c r="AB135" s="165" t="s">
        <v>1209</v>
      </c>
      <c r="AC135" s="117"/>
      <c r="AD13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3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3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3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35"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35"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35" s="10">
        <f t="shared" si="16"/>
        <v>0</v>
      </c>
      <c r="AK135" s="10">
        <f t="shared" si="13"/>
        <v>0</v>
      </c>
      <c r="AL135" s="10">
        <f t="shared" si="17"/>
        <v>0</v>
      </c>
      <c r="AM135" s="6"/>
    </row>
    <row r="136" spans="1:39" ht="31.5" customHeight="1">
      <c r="A136" s="21" t="s">
        <v>231</v>
      </c>
      <c r="B136" s="21" t="s">
        <v>360</v>
      </c>
      <c r="C136" s="126" t="s">
        <v>437</v>
      </c>
      <c r="D136" s="129"/>
      <c r="E136" s="27"/>
      <c r="F136" s="126" t="s">
        <v>466</v>
      </c>
      <c r="G136" s="126"/>
      <c r="H136" s="1" t="s">
        <v>382</v>
      </c>
      <c r="I136" s="108" t="s">
        <v>7</v>
      </c>
      <c r="J136" s="108" t="s">
        <v>8</v>
      </c>
      <c r="K136" s="108" t="s">
        <v>7</v>
      </c>
      <c r="L136" s="97" t="s">
        <v>444</v>
      </c>
      <c r="M136" s="108">
        <v>2019</v>
      </c>
      <c r="N136" s="155">
        <v>2022</v>
      </c>
      <c r="O136" s="142"/>
      <c r="P136" s="127"/>
      <c r="Q136" s="254"/>
      <c r="R136" s="141"/>
      <c r="S136" s="141"/>
      <c r="T136" s="141"/>
      <c r="U136" s="142"/>
      <c r="V136" s="142"/>
      <c r="W136" s="1" t="s">
        <v>1329</v>
      </c>
      <c r="X136" s="108"/>
      <c r="Y136" s="108"/>
      <c r="Z136" s="296" t="s">
        <v>1087</v>
      </c>
      <c r="AA136" s="165" t="s">
        <v>1266</v>
      </c>
      <c r="AB136" s="165" t="s">
        <v>1209</v>
      </c>
      <c r="AC136" s="117"/>
      <c r="AD13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3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3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3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36"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36"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36" s="10">
        <f t="shared" si="16"/>
        <v>0</v>
      </c>
      <c r="AK136" s="10">
        <f t="shared" si="13"/>
        <v>0</v>
      </c>
      <c r="AL136" s="10">
        <f t="shared" si="17"/>
        <v>0</v>
      </c>
      <c r="AM136" s="6"/>
    </row>
    <row r="137" spans="1:39" ht="31.5" customHeight="1">
      <c r="A137" s="21" t="s">
        <v>231</v>
      </c>
      <c r="B137" s="21" t="s">
        <v>360</v>
      </c>
      <c r="C137" s="126" t="s">
        <v>437</v>
      </c>
      <c r="D137" s="129"/>
      <c r="E137" s="27"/>
      <c r="F137" s="126" t="s">
        <v>467</v>
      </c>
      <c r="G137" s="126"/>
      <c r="H137" s="1" t="s">
        <v>382</v>
      </c>
      <c r="I137" s="108" t="s">
        <v>7</v>
      </c>
      <c r="J137" s="108" t="s">
        <v>8</v>
      </c>
      <c r="K137" s="108" t="s">
        <v>7</v>
      </c>
      <c r="L137" s="97" t="s">
        <v>444</v>
      </c>
      <c r="M137" s="108">
        <v>2020</v>
      </c>
      <c r="N137" s="155">
        <v>2023</v>
      </c>
      <c r="O137" s="142"/>
      <c r="P137" s="127"/>
      <c r="Q137" s="254"/>
      <c r="R137" s="141"/>
      <c r="S137" s="141"/>
      <c r="T137" s="141"/>
      <c r="U137" s="142"/>
      <c r="V137" s="142"/>
      <c r="W137" s="1" t="s">
        <v>1329</v>
      </c>
      <c r="X137" s="108"/>
      <c r="Y137" s="108"/>
      <c r="Z137" s="296" t="s">
        <v>1087</v>
      </c>
      <c r="AA137" s="165" t="s">
        <v>1266</v>
      </c>
      <c r="AB137" s="165" t="s">
        <v>1209</v>
      </c>
      <c r="AC137" s="117"/>
      <c r="AD13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3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3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3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37"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37"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37" s="10">
        <f t="shared" si="16"/>
        <v>0</v>
      </c>
      <c r="AK137" s="10">
        <f t="shared" si="13"/>
        <v>0</v>
      </c>
      <c r="AL137" s="10">
        <f t="shared" si="17"/>
        <v>0</v>
      </c>
      <c r="AM137" s="6"/>
    </row>
    <row r="138" spans="1:39" ht="31.5" customHeight="1">
      <c r="A138" s="21" t="s">
        <v>231</v>
      </c>
      <c r="B138" s="21" t="s">
        <v>360</v>
      </c>
      <c r="C138" s="126" t="s">
        <v>437</v>
      </c>
      <c r="D138" s="129"/>
      <c r="E138" s="27"/>
      <c r="F138" s="126" t="s">
        <v>468</v>
      </c>
      <c r="G138" s="126"/>
      <c r="H138" s="1" t="s">
        <v>382</v>
      </c>
      <c r="I138" s="108" t="s">
        <v>7</v>
      </c>
      <c r="J138" s="108" t="s">
        <v>8</v>
      </c>
      <c r="K138" s="108" t="s">
        <v>7</v>
      </c>
      <c r="L138" s="97" t="s">
        <v>444</v>
      </c>
      <c r="M138" s="108">
        <v>2022</v>
      </c>
      <c r="N138" s="155">
        <v>2025</v>
      </c>
      <c r="O138" s="142"/>
      <c r="P138" s="127"/>
      <c r="Q138" s="254"/>
      <c r="R138" s="141"/>
      <c r="S138" s="141"/>
      <c r="T138" s="141"/>
      <c r="U138" s="142"/>
      <c r="V138" s="142"/>
      <c r="W138" s="1" t="s">
        <v>1329</v>
      </c>
      <c r="X138" s="108"/>
      <c r="Y138" s="108"/>
      <c r="Z138" s="296" t="s">
        <v>1087</v>
      </c>
      <c r="AA138" s="165" t="s">
        <v>1266</v>
      </c>
      <c r="AB138" s="165" t="s">
        <v>1209</v>
      </c>
      <c r="AC138" s="117"/>
      <c r="AD13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3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3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3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38"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38"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38" s="10">
        <f t="shared" si="16"/>
        <v>0</v>
      </c>
      <c r="AK138" s="10">
        <f t="shared" si="13"/>
        <v>0</v>
      </c>
      <c r="AL138" s="10">
        <f t="shared" si="17"/>
        <v>0</v>
      </c>
      <c r="AM138" s="6"/>
    </row>
    <row r="139" spans="1:39" ht="31.5" customHeight="1">
      <c r="A139" s="21" t="s">
        <v>231</v>
      </c>
      <c r="B139" s="21" t="s">
        <v>360</v>
      </c>
      <c r="C139" s="126" t="s">
        <v>437</v>
      </c>
      <c r="D139" s="129"/>
      <c r="E139" s="27"/>
      <c r="F139" s="126" t="s">
        <v>450</v>
      </c>
      <c r="G139" s="126" t="s">
        <v>451</v>
      </c>
      <c r="H139" s="1" t="s">
        <v>382</v>
      </c>
      <c r="I139" s="108" t="s">
        <v>7</v>
      </c>
      <c r="J139" s="108" t="s">
        <v>8</v>
      </c>
      <c r="K139" s="108" t="s">
        <v>7</v>
      </c>
      <c r="L139" s="97" t="s">
        <v>449</v>
      </c>
      <c r="M139" s="108">
        <v>2015</v>
      </c>
      <c r="N139" s="155">
        <v>2018</v>
      </c>
      <c r="O139" s="142"/>
      <c r="P139" s="127"/>
      <c r="Q139" s="254"/>
      <c r="R139" s="141"/>
      <c r="S139" s="141"/>
      <c r="T139" s="141"/>
      <c r="U139" s="142"/>
      <c r="V139" s="142"/>
      <c r="W139" s="1" t="s">
        <v>1329</v>
      </c>
      <c r="X139" s="108"/>
      <c r="Y139" s="108"/>
      <c r="Z139" s="296" t="s">
        <v>1087</v>
      </c>
      <c r="AA139" s="165" t="s">
        <v>1266</v>
      </c>
      <c r="AB139" s="165" t="s">
        <v>1209</v>
      </c>
      <c r="AC139" s="117"/>
      <c r="AD13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3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3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3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39"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39"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39" s="10">
        <f t="shared" si="16"/>
        <v>0</v>
      </c>
      <c r="AK139" s="10">
        <f t="shared" si="13"/>
        <v>0</v>
      </c>
      <c r="AL139" s="10">
        <f t="shared" si="17"/>
        <v>0</v>
      </c>
      <c r="AM139" s="6"/>
    </row>
    <row r="140" spans="1:39" ht="31.5" customHeight="1">
      <c r="A140" s="25" t="s">
        <v>231</v>
      </c>
      <c r="B140" s="25" t="s">
        <v>360</v>
      </c>
      <c r="C140" s="18" t="s">
        <v>437</v>
      </c>
      <c r="D140" s="129"/>
      <c r="E140" s="27"/>
      <c r="F140" s="26" t="s">
        <v>928</v>
      </c>
      <c r="G140" s="28"/>
      <c r="H140" s="1" t="s">
        <v>382</v>
      </c>
      <c r="I140" s="108" t="s">
        <v>7</v>
      </c>
      <c r="J140" s="108" t="s">
        <v>8</v>
      </c>
      <c r="K140" s="108" t="s">
        <v>7</v>
      </c>
      <c r="L140" s="97" t="s">
        <v>444</v>
      </c>
      <c r="M140" s="78">
        <v>2017</v>
      </c>
      <c r="N140" s="78">
        <v>2020</v>
      </c>
      <c r="O140" s="104"/>
      <c r="P140" s="29"/>
      <c r="Q140" s="251"/>
      <c r="R140" s="104"/>
      <c r="S140" s="104"/>
      <c r="T140" s="104"/>
      <c r="U140" s="104"/>
      <c r="V140" s="104"/>
      <c r="W140" s="1" t="s">
        <v>1329</v>
      </c>
      <c r="X140" s="120"/>
      <c r="Y140" s="88"/>
      <c r="Z140" s="296" t="s">
        <v>1087</v>
      </c>
      <c r="AA140" s="165" t="s">
        <v>1266</v>
      </c>
      <c r="AB140" s="165" t="s">
        <v>1209</v>
      </c>
      <c r="AC140" s="117"/>
      <c r="AD14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4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4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4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40"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40"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40" s="10">
        <f t="shared" si="16"/>
        <v>0</v>
      </c>
      <c r="AK140" s="10">
        <f t="shared" si="13"/>
        <v>0</v>
      </c>
      <c r="AL140" s="10">
        <f t="shared" si="17"/>
        <v>0</v>
      </c>
      <c r="AM140" s="6"/>
    </row>
    <row r="141" spans="1:39" ht="31.5" customHeight="1">
      <c r="A141" s="21" t="s">
        <v>231</v>
      </c>
      <c r="B141" s="21" t="s">
        <v>360</v>
      </c>
      <c r="C141" s="126" t="s">
        <v>437</v>
      </c>
      <c r="D141" s="129"/>
      <c r="E141" s="27"/>
      <c r="F141" s="126" t="s">
        <v>469</v>
      </c>
      <c r="G141" s="126"/>
      <c r="H141" s="1" t="s">
        <v>382</v>
      </c>
      <c r="I141" s="108" t="s">
        <v>7</v>
      </c>
      <c r="J141" s="108" t="s">
        <v>8</v>
      </c>
      <c r="K141" s="108" t="s">
        <v>7</v>
      </c>
      <c r="L141" s="97" t="s">
        <v>444</v>
      </c>
      <c r="M141" s="108">
        <v>2021</v>
      </c>
      <c r="N141" s="155">
        <v>2024</v>
      </c>
      <c r="O141" s="142"/>
      <c r="P141" s="127"/>
      <c r="Q141" s="254"/>
      <c r="R141" s="141"/>
      <c r="S141" s="141"/>
      <c r="T141" s="141"/>
      <c r="U141" s="142"/>
      <c r="V141" s="142"/>
      <c r="W141" s="1" t="s">
        <v>1329</v>
      </c>
      <c r="X141" s="108"/>
      <c r="Y141" s="108"/>
      <c r="Z141" s="296" t="s">
        <v>1087</v>
      </c>
      <c r="AA141" s="165" t="s">
        <v>1266</v>
      </c>
      <c r="AB141" s="165" t="s">
        <v>1209</v>
      </c>
      <c r="AC141" s="117"/>
      <c r="AD14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4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4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4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41"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41"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41" s="10">
        <f t="shared" si="16"/>
        <v>0</v>
      </c>
      <c r="AK141" s="10">
        <f t="shared" si="13"/>
        <v>0</v>
      </c>
      <c r="AL141" s="10">
        <f t="shared" si="17"/>
        <v>0</v>
      </c>
      <c r="AM141" s="6"/>
    </row>
    <row r="142" spans="1:39" ht="31.5" customHeight="1">
      <c r="A142" s="21" t="s">
        <v>231</v>
      </c>
      <c r="B142" s="21" t="s">
        <v>360</v>
      </c>
      <c r="C142" s="126" t="s">
        <v>437</v>
      </c>
      <c r="D142" s="129"/>
      <c r="E142" s="27"/>
      <c r="F142" s="126" t="s">
        <v>470</v>
      </c>
      <c r="G142" s="126"/>
      <c r="H142" s="1" t="s">
        <v>382</v>
      </c>
      <c r="I142" s="108" t="s">
        <v>7</v>
      </c>
      <c r="J142" s="108" t="s">
        <v>8</v>
      </c>
      <c r="K142" s="108" t="s">
        <v>7</v>
      </c>
      <c r="L142" s="97" t="s">
        <v>444</v>
      </c>
      <c r="M142" s="108">
        <v>2018</v>
      </c>
      <c r="N142" s="155">
        <v>2021</v>
      </c>
      <c r="O142" s="142"/>
      <c r="P142" s="127"/>
      <c r="Q142" s="254"/>
      <c r="R142" s="141"/>
      <c r="S142" s="141"/>
      <c r="T142" s="141"/>
      <c r="U142" s="142"/>
      <c r="V142" s="142"/>
      <c r="W142" s="1" t="s">
        <v>1329</v>
      </c>
      <c r="X142" s="108"/>
      <c r="Y142" s="108"/>
      <c r="Z142" s="296" t="s">
        <v>1087</v>
      </c>
      <c r="AA142" s="165" t="s">
        <v>1266</v>
      </c>
      <c r="AB142" s="165" t="s">
        <v>1209</v>
      </c>
      <c r="AC142" s="117"/>
      <c r="AD14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4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4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4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42"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42"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42" s="10">
        <f t="shared" si="16"/>
        <v>0</v>
      </c>
      <c r="AK142" s="10">
        <f t="shared" si="13"/>
        <v>0</v>
      </c>
      <c r="AL142" s="10">
        <f t="shared" si="17"/>
        <v>0</v>
      </c>
      <c r="AM142" s="6"/>
    </row>
    <row r="143" spans="1:39" ht="31.5" customHeight="1">
      <c r="A143" s="21" t="s">
        <v>231</v>
      </c>
      <c r="B143" s="21" t="s">
        <v>360</v>
      </c>
      <c r="C143" s="126" t="s">
        <v>437</v>
      </c>
      <c r="D143" s="129"/>
      <c r="E143" s="27"/>
      <c r="F143" s="126" t="s">
        <v>471</v>
      </c>
      <c r="G143" s="126"/>
      <c r="H143" s="1" t="s">
        <v>382</v>
      </c>
      <c r="I143" s="108" t="s">
        <v>7</v>
      </c>
      <c r="J143" s="108" t="s">
        <v>8</v>
      </c>
      <c r="K143" s="108" t="s">
        <v>7</v>
      </c>
      <c r="L143" s="97" t="s">
        <v>444</v>
      </c>
      <c r="M143" s="108">
        <v>2019</v>
      </c>
      <c r="N143" s="155">
        <v>2022</v>
      </c>
      <c r="O143" s="142"/>
      <c r="P143" s="127"/>
      <c r="Q143" s="254"/>
      <c r="R143" s="141"/>
      <c r="S143" s="141"/>
      <c r="T143" s="141"/>
      <c r="U143" s="142"/>
      <c r="V143" s="142"/>
      <c r="W143" s="1" t="s">
        <v>1329</v>
      </c>
      <c r="X143" s="108"/>
      <c r="Y143" s="108"/>
      <c r="Z143" s="296" t="s">
        <v>1087</v>
      </c>
      <c r="AA143" s="165" t="s">
        <v>1266</v>
      </c>
      <c r="AB143" s="165" t="s">
        <v>1209</v>
      </c>
      <c r="AC143" s="117"/>
      <c r="AD14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4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4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4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43"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43"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43" s="10">
        <f t="shared" si="16"/>
        <v>0</v>
      </c>
      <c r="AK143" s="10">
        <f t="shared" si="13"/>
        <v>0</v>
      </c>
      <c r="AL143" s="10">
        <f t="shared" si="17"/>
        <v>0</v>
      </c>
      <c r="AM143" s="6"/>
    </row>
    <row r="144" spans="1:39" ht="31.5" customHeight="1">
      <c r="A144" s="21" t="s">
        <v>231</v>
      </c>
      <c r="B144" s="21" t="s">
        <v>360</v>
      </c>
      <c r="C144" s="126" t="s">
        <v>437</v>
      </c>
      <c r="D144" s="129"/>
      <c r="E144" s="27"/>
      <c r="F144" s="126" t="s">
        <v>472</v>
      </c>
      <c r="G144" s="126"/>
      <c r="H144" s="1" t="s">
        <v>382</v>
      </c>
      <c r="I144" s="108" t="s">
        <v>7</v>
      </c>
      <c r="J144" s="108" t="s">
        <v>8</v>
      </c>
      <c r="K144" s="108" t="s">
        <v>7</v>
      </c>
      <c r="L144" s="97" t="s">
        <v>444</v>
      </c>
      <c r="M144" s="108">
        <v>2022</v>
      </c>
      <c r="N144" s="155">
        <v>2025</v>
      </c>
      <c r="O144" s="142"/>
      <c r="P144" s="127"/>
      <c r="Q144" s="254"/>
      <c r="R144" s="141"/>
      <c r="S144" s="141"/>
      <c r="T144" s="141"/>
      <c r="U144" s="142"/>
      <c r="V144" s="142"/>
      <c r="W144" s="1" t="s">
        <v>1329</v>
      </c>
      <c r="X144" s="108"/>
      <c r="Y144" s="108"/>
      <c r="Z144" s="296" t="s">
        <v>1087</v>
      </c>
      <c r="AA144" s="165" t="s">
        <v>1266</v>
      </c>
      <c r="AB144" s="165" t="s">
        <v>1209</v>
      </c>
      <c r="AC144" s="117"/>
      <c r="AD14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4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4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4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44"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44"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44" s="10">
        <f t="shared" si="16"/>
        <v>0</v>
      </c>
      <c r="AK144" s="10">
        <f t="shared" si="13"/>
        <v>0</v>
      </c>
      <c r="AL144" s="10">
        <f t="shared" si="17"/>
        <v>0</v>
      </c>
      <c r="AM144" s="6"/>
    </row>
    <row r="145" spans="1:39" ht="31.5" customHeight="1">
      <c r="A145" s="21" t="s">
        <v>231</v>
      </c>
      <c r="B145" s="21" t="s">
        <v>360</v>
      </c>
      <c r="C145" s="126" t="s">
        <v>437</v>
      </c>
      <c r="D145" s="129"/>
      <c r="E145" s="27"/>
      <c r="F145" s="126" t="s">
        <v>473</v>
      </c>
      <c r="G145" s="126"/>
      <c r="H145" s="1" t="s">
        <v>382</v>
      </c>
      <c r="I145" s="108" t="s">
        <v>7</v>
      </c>
      <c r="J145" s="108" t="s">
        <v>8</v>
      </c>
      <c r="K145" s="108" t="s">
        <v>7</v>
      </c>
      <c r="L145" s="97" t="s">
        <v>444</v>
      </c>
      <c r="M145" s="108">
        <v>2023</v>
      </c>
      <c r="N145" s="155">
        <v>2026</v>
      </c>
      <c r="O145" s="142"/>
      <c r="P145" s="127"/>
      <c r="Q145" s="254"/>
      <c r="R145" s="141"/>
      <c r="S145" s="141"/>
      <c r="T145" s="141"/>
      <c r="U145" s="142"/>
      <c r="V145" s="142"/>
      <c r="W145" s="1" t="s">
        <v>1329</v>
      </c>
      <c r="X145" s="108"/>
      <c r="Y145" s="108"/>
      <c r="Z145" s="296" t="s">
        <v>1087</v>
      </c>
      <c r="AA145" s="165" t="s">
        <v>1266</v>
      </c>
      <c r="AB145" s="165" t="s">
        <v>1209</v>
      </c>
      <c r="AC145" s="117"/>
      <c r="AD14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4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4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4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45"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45"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45" s="10">
        <f t="shared" si="16"/>
        <v>0</v>
      </c>
      <c r="AK145" s="10">
        <f t="shared" si="13"/>
        <v>0</v>
      </c>
      <c r="AL145" s="10">
        <f t="shared" si="17"/>
        <v>0</v>
      </c>
      <c r="AM145" s="6"/>
    </row>
    <row r="146" spans="1:39" ht="31.5" customHeight="1">
      <c r="A146" s="21" t="s">
        <v>231</v>
      </c>
      <c r="B146" s="21" t="s">
        <v>360</v>
      </c>
      <c r="C146" s="126" t="s">
        <v>437</v>
      </c>
      <c r="D146" s="129"/>
      <c r="E146" s="27"/>
      <c r="F146" s="126" t="s">
        <v>499</v>
      </c>
      <c r="G146" s="126"/>
      <c r="H146" s="1" t="s">
        <v>382</v>
      </c>
      <c r="I146" s="108" t="s">
        <v>7</v>
      </c>
      <c r="J146" s="108" t="s">
        <v>8</v>
      </c>
      <c r="K146" s="108" t="s">
        <v>7</v>
      </c>
      <c r="L146" s="97" t="s">
        <v>444</v>
      </c>
      <c r="M146" s="108">
        <v>2017</v>
      </c>
      <c r="N146" s="155">
        <v>2020</v>
      </c>
      <c r="O146" s="142"/>
      <c r="P146" s="127"/>
      <c r="Q146" s="254"/>
      <c r="R146" s="141"/>
      <c r="S146" s="141"/>
      <c r="T146" s="141"/>
      <c r="U146" s="142"/>
      <c r="V146" s="142"/>
      <c r="W146" s="1" t="s">
        <v>1329</v>
      </c>
      <c r="X146" s="108"/>
      <c r="Y146" s="108"/>
      <c r="Z146" s="296" t="s">
        <v>1087</v>
      </c>
      <c r="AA146" s="165" t="s">
        <v>1266</v>
      </c>
      <c r="AB146" s="165" t="s">
        <v>1209</v>
      </c>
      <c r="AC146" s="117"/>
      <c r="AD14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4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4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4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46"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46"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46" s="10">
        <f t="shared" si="16"/>
        <v>0</v>
      </c>
      <c r="AK146" s="10">
        <f t="shared" si="13"/>
        <v>0</v>
      </c>
      <c r="AL146" s="10">
        <f t="shared" si="17"/>
        <v>0</v>
      </c>
      <c r="AM146" s="6"/>
    </row>
    <row r="147" spans="1:39" ht="31.5" customHeight="1">
      <c r="A147" s="21" t="s">
        <v>231</v>
      </c>
      <c r="B147" s="21" t="s">
        <v>360</v>
      </c>
      <c r="C147" s="126" t="s">
        <v>437</v>
      </c>
      <c r="D147" s="129"/>
      <c r="E147" s="27"/>
      <c r="F147" s="126" t="s">
        <v>474</v>
      </c>
      <c r="G147" s="126"/>
      <c r="H147" s="1" t="s">
        <v>382</v>
      </c>
      <c r="I147" s="108" t="s">
        <v>7</v>
      </c>
      <c r="J147" s="108" t="s">
        <v>8</v>
      </c>
      <c r="K147" s="108" t="s">
        <v>7</v>
      </c>
      <c r="L147" s="97" t="s">
        <v>444</v>
      </c>
      <c r="M147" s="108">
        <v>2019</v>
      </c>
      <c r="N147" s="155">
        <v>2022</v>
      </c>
      <c r="O147" s="142"/>
      <c r="P147" s="127"/>
      <c r="Q147" s="254"/>
      <c r="R147" s="141"/>
      <c r="S147" s="141"/>
      <c r="T147" s="141"/>
      <c r="U147" s="142"/>
      <c r="V147" s="142"/>
      <c r="W147" s="1" t="s">
        <v>1329</v>
      </c>
      <c r="X147" s="108"/>
      <c r="Y147" s="108"/>
      <c r="Z147" s="296" t="s">
        <v>1087</v>
      </c>
      <c r="AA147" s="165" t="s">
        <v>1266</v>
      </c>
      <c r="AB147" s="165" t="s">
        <v>1209</v>
      </c>
      <c r="AC147" s="117"/>
      <c r="AD14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4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4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4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47"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47"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47" s="10">
        <f t="shared" si="16"/>
        <v>0</v>
      </c>
      <c r="AK147" s="10">
        <f t="shared" ref="AK147:AK210" si="18">+SUM(AH147:AI147)</f>
        <v>0</v>
      </c>
      <c r="AL147" s="10">
        <f t="shared" si="17"/>
        <v>0</v>
      </c>
      <c r="AM147" s="6"/>
    </row>
    <row r="148" spans="1:39" ht="31.5" customHeight="1">
      <c r="A148" s="21" t="s">
        <v>231</v>
      </c>
      <c r="B148" s="21" t="s">
        <v>360</v>
      </c>
      <c r="C148" s="126" t="s">
        <v>437</v>
      </c>
      <c r="D148" s="129"/>
      <c r="E148" s="27"/>
      <c r="F148" s="126" t="s">
        <v>475</v>
      </c>
      <c r="G148" s="126"/>
      <c r="H148" s="1" t="s">
        <v>382</v>
      </c>
      <c r="I148" s="108" t="s">
        <v>7</v>
      </c>
      <c r="J148" s="108" t="s">
        <v>8</v>
      </c>
      <c r="K148" s="108" t="s">
        <v>7</v>
      </c>
      <c r="L148" s="97" t="s">
        <v>444</v>
      </c>
      <c r="M148" s="108">
        <v>2021</v>
      </c>
      <c r="N148" s="155">
        <v>2024</v>
      </c>
      <c r="O148" s="142"/>
      <c r="P148" s="127"/>
      <c r="Q148" s="254"/>
      <c r="R148" s="141"/>
      <c r="S148" s="141"/>
      <c r="T148" s="141"/>
      <c r="U148" s="142"/>
      <c r="V148" s="142"/>
      <c r="W148" s="1" t="s">
        <v>1329</v>
      </c>
      <c r="X148" s="108"/>
      <c r="Y148" s="108"/>
      <c r="Z148" s="296" t="s">
        <v>1087</v>
      </c>
      <c r="AA148" s="165" t="s">
        <v>1266</v>
      </c>
      <c r="AB148" s="165" t="s">
        <v>1209</v>
      </c>
      <c r="AC148" s="117"/>
      <c r="AD14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4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4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4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48"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48"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48" s="10">
        <f t="shared" si="16"/>
        <v>0</v>
      </c>
      <c r="AK148" s="10">
        <f t="shared" si="18"/>
        <v>0</v>
      </c>
      <c r="AL148" s="10">
        <f t="shared" si="17"/>
        <v>0</v>
      </c>
      <c r="AM148" s="6"/>
    </row>
    <row r="149" spans="1:39" ht="31.5" customHeight="1">
      <c r="A149" s="21" t="s">
        <v>231</v>
      </c>
      <c r="B149" s="21" t="s">
        <v>360</v>
      </c>
      <c r="C149" s="126" t="s">
        <v>437</v>
      </c>
      <c r="D149" s="129"/>
      <c r="E149" s="27"/>
      <c r="F149" s="126" t="s">
        <v>783</v>
      </c>
      <c r="G149" s="126"/>
      <c r="H149" s="1" t="s">
        <v>382</v>
      </c>
      <c r="I149" s="108" t="s">
        <v>7</v>
      </c>
      <c r="J149" s="108" t="s">
        <v>8</v>
      </c>
      <c r="K149" s="108" t="s">
        <v>7</v>
      </c>
      <c r="L149" s="97" t="s">
        <v>444</v>
      </c>
      <c r="M149" s="108">
        <v>2016</v>
      </c>
      <c r="N149" s="155">
        <v>2019</v>
      </c>
      <c r="O149" s="142"/>
      <c r="P149" s="127"/>
      <c r="Q149" s="254"/>
      <c r="R149" s="141"/>
      <c r="S149" s="141"/>
      <c r="T149" s="141"/>
      <c r="U149" s="142"/>
      <c r="V149" s="142"/>
      <c r="W149" s="1" t="s">
        <v>1329</v>
      </c>
      <c r="X149" s="108"/>
      <c r="Y149" s="108"/>
      <c r="Z149" s="296" t="s">
        <v>1087</v>
      </c>
      <c r="AA149" s="165" t="s">
        <v>1266</v>
      </c>
      <c r="AB149" s="165" t="s">
        <v>1209</v>
      </c>
      <c r="AC149" s="117"/>
      <c r="AD14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4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4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4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49"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49"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49" s="10">
        <f t="shared" si="16"/>
        <v>0</v>
      </c>
      <c r="AK149" s="10">
        <f t="shared" si="18"/>
        <v>0</v>
      </c>
      <c r="AL149" s="10">
        <f t="shared" si="17"/>
        <v>0</v>
      </c>
      <c r="AM149" s="6"/>
    </row>
    <row r="150" spans="1:39" ht="31.5" customHeight="1">
      <c r="A150" s="21" t="s">
        <v>231</v>
      </c>
      <c r="B150" s="21" t="s">
        <v>360</v>
      </c>
      <c r="C150" s="126" t="s">
        <v>437</v>
      </c>
      <c r="D150" s="129"/>
      <c r="E150" s="27"/>
      <c r="F150" s="126" t="s">
        <v>452</v>
      </c>
      <c r="G150" s="126" t="s">
        <v>453</v>
      </c>
      <c r="H150" s="1" t="s">
        <v>382</v>
      </c>
      <c r="I150" s="108" t="s">
        <v>7</v>
      </c>
      <c r="J150" s="108" t="s">
        <v>8</v>
      </c>
      <c r="K150" s="108" t="s">
        <v>7</v>
      </c>
      <c r="L150" s="97" t="s">
        <v>449</v>
      </c>
      <c r="M150" s="108">
        <v>2015</v>
      </c>
      <c r="N150" s="155">
        <v>2018</v>
      </c>
      <c r="O150" s="142"/>
      <c r="P150" s="127"/>
      <c r="Q150" s="254"/>
      <c r="R150" s="141"/>
      <c r="S150" s="141"/>
      <c r="T150" s="141"/>
      <c r="U150" s="142"/>
      <c r="V150" s="142"/>
      <c r="W150" s="1" t="s">
        <v>1329</v>
      </c>
      <c r="X150" s="108"/>
      <c r="Y150" s="108"/>
      <c r="Z150" s="296" t="s">
        <v>1087</v>
      </c>
      <c r="AA150" s="165" t="s">
        <v>1266</v>
      </c>
      <c r="AB150" s="165" t="s">
        <v>1209</v>
      </c>
      <c r="AC150" s="117"/>
      <c r="AD15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5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5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5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50"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50"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50" s="10">
        <f t="shared" si="16"/>
        <v>0</v>
      </c>
      <c r="AK150" s="10">
        <f t="shared" si="18"/>
        <v>0</v>
      </c>
      <c r="AL150" s="10">
        <f t="shared" si="17"/>
        <v>0</v>
      </c>
      <c r="AM150" s="6"/>
    </row>
    <row r="151" spans="1:39" ht="31.5" customHeight="1">
      <c r="A151" s="21" t="s">
        <v>231</v>
      </c>
      <c r="B151" s="21" t="s">
        <v>360</v>
      </c>
      <c r="C151" s="126" t="s">
        <v>437</v>
      </c>
      <c r="D151" s="129"/>
      <c r="E151" s="27"/>
      <c r="F151" s="126" t="s">
        <v>490</v>
      </c>
      <c r="G151" s="126" t="s">
        <v>491</v>
      </c>
      <c r="H151" s="1" t="s">
        <v>382</v>
      </c>
      <c r="I151" s="108" t="s">
        <v>7</v>
      </c>
      <c r="J151" s="108" t="s">
        <v>8</v>
      </c>
      <c r="K151" s="108" t="s">
        <v>7</v>
      </c>
      <c r="L151" s="97" t="s">
        <v>1054</v>
      </c>
      <c r="M151" s="108">
        <v>2012</v>
      </c>
      <c r="N151" s="155">
        <v>2015</v>
      </c>
      <c r="O151" s="142"/>
      <c r="P151" s="127"/>
      <c r="Q151" s="254"/>
      <c r="R151" s="141"/>
      <c r="S151" s="141"/>
      <c r="T151" s="141"/>
      <c r="U151" s="142"/>
      <c r="V151" s="142"/>
      <c r="W151" s="1" t="s">
        <v>1329</v>
      </c>
      <c r="X151" s="108"/>
      <c r="Y151" s="108"/>
      <c r="Z151" s="296" t="s">
        <v>1087</v>
      </c>
      <c r="AA151" s="165" t="s">
        <v>1266</v>
      </c>
      <c r="AB151" s="165" t="s">
        <v>1209</v>
      </c>
      <c r="AC151" s="117"/>
      <c r="AD15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5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5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5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51"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51"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51" s="10">
        <f t="shared" si="16"/>
        <v>0</v>
      </c>
      <c r="AK151" s="10">
        <f t="shared" si="18"/>
        <v>0</v>
      </c>
      <c r="AL151" s="10">
        <f t="shared" si="17"/>
        <v>0</v>
      </c>
      <c r="AM151" s="6"/>
    </row>
    <row r="152" spans="1:39" ht="31.5" customHeight="1">
      <c r="A152" s="21" t="s">
        <v>231</v>
      </c>
      <c r="B152" s="21" t="s">
        <v>360</v>
      </c>
      <c r="C152" s="126" t="s">
        <v>437</v>
      </c>
      <c r="D152" s="129"/>
      <c r="E152" s="27"/>
      <c r="F152" s="126" t="s">
        <v>479</v>
      </c>
      <c r="G152" s="126"/>
      <c r="H152" s="1" t="s">
        <v>382</v>
      </c>
      <c r="I152" s="108" t="s">
        <v>7</v>
      </c>
      <c r="J152" s="108" t="s">
        <v>8</v>
      </c>
      <c r="K152" s="108" t="s">
        <v>7</v>
      </c>
      <c r="L152" s="97" t="s">
        <v>444</v>
      </c>
      <c r="M152" s="108">
        <v>2018</v>
      </c>
      <c r="N152" s="155">
        <v>2021</v>
      </c>
      <c r="O152" s="142"/>
      <c r="P152" s="127"/>
      <c r="Q152" s="254"/>
      <c r="R152" s="141"/>
      <c r="S152" s="141"/>
      <c r="T152" s="141"/>
      <c r="U152" s="142"/>
      <c r="V152" s="142"/>
      <c r="W152" s="1" t="s">
        <v>1329</v>
      </c>
      <c r="X152" s="108"/>
      <c r="Y152" s="108"/>
      <c r="Z152" s="296" t="s">
        <v>1087</v>
      </c>
      <c r="AA152" s="165" t="s">
        <v>1266</v>
      </c>
      <c r="AB152" s="165" t="s">
        <v>1209</v>
      </c>
      <c r="AC152" s="117"/>
      <c r="AD15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5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5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5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52"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52"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52" s="10">
        <f t="shared" si="16"/>
        <v>0</v>
      </c>
      <c r="AK152" s="10">
        <f t="shared" si="18"/>
        <v>0</v>
      </c>
      <c r="AL152" s="10">
        <f t="shared" si="17"/>
        <v>0</v>
      </c>
      <c r="AM152" s="6"/>
    </row>
    <row r="153" spans="1:39" ht="31.5" customHeight="1">
      <c r="A153" s="21" t="s">
        <v>231</v>
      </c>
      <c r="B153" s="21" t="s">
        <v>360</v>
      </c>
      <c r="C153" s="126" t="s">
        <v>437</v>
      </c>
      <c r="D153" s="129"/>
      <c r="E153" s="27"/>
      <c r="F153" s="126" t="s">
        <v>476</v>
      </c>
      <c r="G153" s="126"/>
      <c r="H153" s="1" t="s">
        <v>382</v>
      </c>
      <c r="I153" s="108" t="s">
        <v>7</v>
      </c>
      <c r="J153" s="108" t="s">
        <v>8</v>
      </c>
      <c r="K153" s="108" t="s">
        <v>7</v>
      </c>
      <c r="L153" s="97" t="s">
        <v>444</v>
      </c>
      <c r="M153" s="108">
        <v>2018</v>
      </c>
      <c r="N153" s="155">
        <v>2021</v>
      </c>
      <c r="O153" s="142"/>
      <c r="P153" s="127"/>
      <c r="Q153" s="254"/>
      <c r="R153" s="141"/>
      <c r="S153" s="141"/>
      <c r="T153" s="141"/>
      <c r="U153" s="142"/>
      <c r="V153" s="142"/>
      <c r="W153" s="1" t="s">
        <v>1329</v>
      </c>
      <c r="X153" s="108"/>
      <c r="Y153" s="108"/>
      <c r="Z153" s="296" t="s">
        <v>1087</v>
      </c>
      <c r="AA153" s="165" t="s">
        <v>1266</v>
      </c>
      <c r="AB153" s="165" t="s">
        <v>1209</v>
      </c>
      <c r="AC153" s="117"/>
      <c r="AD15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5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5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5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53"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53"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53" s="10">
        <f t="shared" si="16"/>
        <v>0</v>
      </c>
      <c r="AK153" s="10">
        <f t="shared" si="18"/>
        <v>0</v>
      </c>
      <c r="AL153" s="10">
        <f t="shared" si="17"/>
        <v>0</v>
      </c>
      <c r="AM153" s="6"/>
    </row>
    <row r="154" spans="1:39" ht="31.5" customHeight="1">
      <c r="A154" s="21" t="s">
        <v>231</v>
      </c>
      <c r="B154" s="21" t="s">
        <v>360</v>
      </c>
      <c r="C154" s="126" t="s">
        <v>437</v>
      </c>
      <c r="D154" s="129"/>
      <c r="E154" s="27"/>
      <c r="F154" s="126" t="s">
        <v>477</v>
      </c>
      <c r="G154" s="126"/>
      <c r="H154" s="1" t="s">
        <v>382</v>
      </c>
      <c r="I154" s="108" t="s">
        <v>7</v>
      </c>
      <c r="J154" s="108" t="s">
        <v>8</v>
      </c>
      <c r="K154" s="108" t="s">
        <v>7</v>
      </c>
      <c r="L154" s="97" t="s">
        <v>444</v>
      </c>
      <c r="M154" s="108">
        <v>2018</v>
      </c>
      <c r="N154" s="155">
        <v>2021</v>
      </c>
      <c r="O154" s="142"/>
      <c r="P154" s="127"/>
      <c r="Q154" s="254"/>
      <c r="R154" s="141"/>
      <c r="S154" s="141"/>
      <c r="T154" s="141"/>
      <c r="U154" s="142"/>
      <c r="V154" s="142"/>
      <c r="W154" s="1" t="s">
        <v>1329</v>
      </c>
      <c r="X154" s="108"/>
      <c r="Y154" s="108"/>
      <c r="Z154" s="296" t="s">
        <v>1087</v>
      </c>
      <c r="AA154" s="165" t="s">
        <v>1266</v>
      </c>
      <c r="AB154" s="165" t="s">
        <v>1209</v>
      </c>
      <c r="AC154" s="117"/>
      <c r="AD15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5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5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5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54"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54"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54" s="10">
        <f t="shared" si="16"/>
        <v>0</v>
      </c>
      <c r="AK154" s="10">
        <f t="shared" si="18"/>
        <v>0</v>
      </c>
      <c r="AL154" s="10">
        <f t="shared" si="17"/>
        <v>0</v>
      </c>
      <c r="AM154" s="6"/>
    </row>
    <row r="155" spans="1:39" ht="31.5" customHeight="1">
      <c r="A155" s="21" t="s">
        <v>231</v>
      </c>
      <c r="B155" s="21" t="s">
        <v>360</v>
      </c>
      <c r="C155" s="126" t="s">
        <v>437</v>
      </c>
      <c r="D155" s="129"/>
      <c r="E155" s="27"/>
      <c r="F155" s="126" t="s">
        <v>478</v>
      </c>
      <c r="G155" s="126"/>
      <c r="H155" s="1" t="s">
        <v>382</v>
      </c>
      <c r="I155" s="108" t="s">
        <v>7</v>
      </c>
      <c r="J155" s="108" t="s">
        <v>8</v>
      </c>
      <c r="K155" s="108" t="s">
        <v>7</v>
      </c>
      <c r="L155" s="97" t="s">
        <v>444</v>
      </c>
      <c r="M155" s="108">
        <v>2018</v>
      </c>
      <c r="N155" s="155">
        <v>2021</v>
      </c>
      <c r="O155" s="142"/>
      <c r="P155" s="127"/>
      <c r="Q155" s="254"/>
      <c r="R155" s="141"/>
      <c r="S155" s="141"/>
      <c r="T155" s="141"/>
      <c r="U155" s="142"/>
      <c r="V155" s="142"/>
      <c r="W155" s="1" t="s">
        <v>1329</v>
      </c>
      <c r="X155" s="108"/>
      <c r="Y155" s="108"/>
      <c r="Z155" s="296" t="s">
        <v>1087</v>
      </c>
      <c r="AA155" s="165" t="s">
        <v>1266</v>
      </c>
      <c r="AB155" s="165" t="s">
        <v>1209</v>
      </c>
      <c r="AC155" s="117"/>
      <c r="AD15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5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5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5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55"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55"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55" s="10">
        <f t="shared" si="16"/>
        <v>0</v>
      </c>
      <c r="AK155" s="10">
        <f t="shared" si="18"/>
        <v>0</v>
      </c>
      <c r="AL155" s="10">
        <f t="shared" si="17"/>
        <v>0</v>
      </c>
      <c r="AM155" s="6"/>
    </row>
    <row r="156" spans="1:39" ht="31.5" customHeight="1">
      <c r="A156" s="21" t="s">
        <v>231</v>
      </c>
      <c r="B156" s="21" t="s">
        <v>360</v>
      </c>
      <c r="C156" s="126" t="s">
        <v>437</v>
      </c>
      <c r="D156" s="129"/>
      <c r="E156" s="27"/>
      <c r="F156" s="126" t="s">
        <v>480</v>
      </c>
      <c r="G156" s="126"/>
      <c r="H156" s="1" t="s">
        <v>382</v>
      </c>
      <c r="I156" s="108" t="s">
        <v>7</v>
      </c>
      <c r="J156" s="108" t="s">
        <v>8</v>
      </c>
      <c r="K156" s="108" t="s">
        <v>7</v>
      </c>
      <c r="L156" s="97" t="s">
        <v>444</v>
      </c>
      <c r="M156" s="108">
        <v>2018</v>
      </c>
      <c r="N156" s="155">
        <v>2021</v>
      </c>
      <c r="O156" s="142"/>
      <c r="P156" s="127"/>
      <c r="Q156" s="254"/>
      <c r="R156" s="141"/>
      <c r="S156" s="141"/>
      <c r="T156" s="141"/>
      <c r="U156" s="142"/>
      <c r="V156" s="142"/>
      <c r="W156" s="1" t="s">
        <v>1329</v>
      </c>
      <c r="X156" s="108"/>
      <c r="Y156" s="108"/>
      <c r="Z156" s="296" t="s">
        <v>1087</v>
      </c>
      <c r="AA156" s="165" t="s">
        <v>1266</v>
      </c>
      <c r="AB156" s="165" t="s">
        <v>1209</v>
      </c>
      <c r="AC156" s="117"/>
      <c r="AD15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5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5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5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56"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56"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56" s="10">
        <f t="shared" si="16"/>
        <v>0</v>
      </c>
      <c r="AK156" s="10">
        <f t="shared" si="18"/>
        <v>0</v>
      </c>
      <c r="AL156" s="10">
        <f t="shared" si="17"/>
        <v>0</v>
      </c>
      <c r="AM156" s="6"/>
    </row>
    <row r="157" spans="1:39" ht="31.5" customHeight="1">
      <c r="A157" s="21" t="s">
        <v>231</v>
      </c>
      <c r="B157" s="21" t="s">
        <v>360</v>
      </c>
      <c r="C157" s="126" t="s">
        <v>437</v>
      </c>
      <c r="D157" s="129"/>
      <c r="E157" s="27"/>
      <c r="F157" s="126" t="s">
        <v>492</v>
      </c>
      <c r="G157" s="126"/>
      <c r="H157" s="1" t="s">
        <v>382</v>
      </c>
      <c r="I157" s="108" t="s">
        <v>7</v>
      </c>
      <c r="J157" s="108" t="s">
        <v>8</v>
      </c>
      <c r="K157" s="108" t="s">
        <v>7</v>
      </c>
      <c r="L157" s="97" t="s">
        <v>1054</v>
      </c>
      <c r="M157" s="108">
        <v>2013</v>
      </c>
      <c r="N157" s="155">
        <v>2016</v>
      </c>
      <c r="O157" s="142"/>
      <c r="P157" s="127"/>
      <c r="Q157" s="254"/>
      <c r="R157" s="141"/>
      <c r="S157" s="141"/>
      <c r="T157" s="141"/>
      <c r="U157" s="142"/>
      <c r="V157" s="142"/>
      <c r="W157" s="1" t="s">
        <v>1329</v>
      </c>
      <c r="X157" s="108"/>
      <c r="Y157" s="108"/>
      <c r="Z157" s="296" t="s">
        <v>1087</v>
      </c>
      <c r="AA157" s="165" t="s">
        <v>1266</v>
      </c>
      <c r="AB157" s="165" t="s">
        <v>1209</v>
      </c>
      <c r="AC157" s="117"/>
      <c r="AD15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5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5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5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57"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57"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57" s="10">
        <f t="shared" si="16"/>
        <v>0</v>
      </c>
      <c r="AK157" s="10">
        <f t="shared" si="18"/>
        <v>0</v>
      </c>
      <c r="AL157" s="10">
        <f t="shared" si="17"/>
        <v>0</v>
      </c>
      <c r="AM157" s="6"/>
    </row>
    <row r="158" spans="1:39" ht="31.5" customHeight="1">
      <c r="A158" s="21" t="s">
        <v>231</v>
      </c>
      <c r="B158" s="21" t="s">
        <v>360</v>
      </c>
      <c r="C158" s="126" t="s">
        <v>437</v>
      </c>
      <c r="D158" s="129"/>
      <c r="E158" s="27"/>
      <c r="F158" s="126" t="s">
        <v>481</v>
      </c>
      <c r="G158" s="126"/>
      <c r="H158" s="1" t="s">
        <v>382</v>
      </c>
      <c r="I158" s="108" t="s">
        <v>7</v>
      </c>
      <c r="J158" s="108" t="s">
        <v>8</v>
      </c>
      <c r="K158" s="108" t="s">
        <v>7</v>
      </c>
      <c r="L158" s="97" t="s">
        <v>1032</v>
      </c>
      <c r="M158" s="108">
        <v>2017</v>
      </c>
      <c r="N158" s="155">
        <v>2020</v>
      </c>
      <c r="O158" s="142"/>
      <c r="P158" s="127"/>
      <c r="Q158" s="254"/>
      <c r="R158" s="141"/>
      <c r="S158" s="141"/>
      <c r="T158" s="141"/>
      <c r="U158" s="142"/>
      <c r="V158" s="142"/>
      <c r="W158" s="1" t="s">
        <v>1329</v>
      </c>
      <c r="X158" s="108"/>
      <c r="Y158" s="108"/>
      <c r="Z158" s="296" t="s">
        <v>1087</v>
      </c>
      <c r="AA158" s="165" t="s">
        <v>1266</v>
      </c>
      <c r="AB158" s="165" t="s">
        <v>1209</v>
      </c>
      <c r="AC158" s="117"/>
      <c r="AD15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5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5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5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58"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58"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58" s="10">
        <f t="shared" si="16"/>
        <v>0</v>
      </c>
      <c r="AK158" s="10">
        <f t="shared" si="18"/>
        <v>0</v>
      </c>
      <c r="AL158" s="10">
        <f t="shared" si="17"/>
        <v>0</v>
      </c>
      <c r="AM158" s="6"/>
    </row>
    <row r="159" spans="1:39" ht="31.5" customHeight="1">
      <c r="A159" s="21" t="s">
        <v>231</v>
      </c>
      <c r="B159" s="21" t="s">
        <v>360</v>
      </c>
      <c r="C159" s="126" t="s">
        <v>437</v>
      </c>
      <c r="D159" s="129"/>
      <c r="E159" s="27"/>
      <c r="F159" s="126" t="s">
        <v>498</v>
      </c>
      <c r="G159" s="126"/>
      <c r="H159" s="1" t="s">
        <v>382</v>
      </c>
      <c r="I159" s="108" t="s">
        <v>7</v>
      </c>
      <c r="J159" s="108" t="s">
        <v>8</v>
      </c>
      <c r="K159" s="108" t="s">
        <v>7</v>
      </c>
      <c r="L159" s="97" t="s">
        <v>444</v>
      </c>
      <c r="M159" s="108">
        <v>2022</v>
      </c>
      <c r="N159" s="155">
        <v>2025</v>
      </c>
      <c r="O159" s="142"/>
      <c r="P159" s="127"/>
      <c r="Q159" s="254"/>
      <c r="R159" s="141"/>
      <c r="S159" s="141"/>
      <c r="T159" s="141"/>
      <c r="U159" s="142"/>
      <c r="V159" s="142"/>
      <c r="W159" s="1" t="s">
        <v>1329</v>
      </c>
      <c r="X159" s="108"/>
      <c r="Y159" s="108"/>
      <c r="Z159" s="296" t="s">
        <v>1087</v>
      </c>
      <c r="AA159" s="165" t="s">
        <v>1266</v>
      </c>
      <c r="AB159" s="165" t="s">
        <v>1209</v>
      </c>
      <c r="AC159" s="117"/>
      <c r="AD15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5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5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5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59"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59"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59" s="10">
        <f t="shared" si="16"/>
        <v>0</v>
      </c>
      <c r="AK159" s="10">
        <f t="shared" si="18"/>
        <v>0</v>
      </c>
      <c r="AL159" s="10">
        <f t="shared" si="17"/>
        <v>0</v>
      </c>
      <c r="AM159" s="6"/>
    </row>
    <row r="160" spans="1:39" ht="31.5" customHeight="1">
      <c r="A160" s="21" t="s">
        <v>231</v>
      </c>
      <c r="B160" s="21" t="s">
        <v>360</v>
      </c>
      <c r="C160" s="126" t="s">
        <v>437</v>
      </c>
      <c r="D160" s="129"/>
      <c r="E160" s="27"/>
      <c r="F160" s="126" t="s">
        <v>496</v>
      </c>
      <c r="G160" s="126"/>
      <c r="H160" s="1" t="s">
        <v>382</v>
      </c>
      <c r="I160" s="108" t="s">
        <v>7</v>
      </c>
      <c r="J160" s="108" t="s">
        <v>8</v>
      </c>
      <c r="K160" s="108" t="s">
        <v>7</v>
      </c>
      <c r="L160" s="97" t="s">
        <v>449</v>
      </c>
      <c r="M160" s="108">
        <v>2013</v>
      </c>
      <c r="N160" s="155">
        <v>2016</v>
      </c>
      <c r="O160" s="142"/>
      <c r="P160" s="127"/>
      <c r="Q160" s="254"/>
      <c r="R160" s="141"/>
      <c r="S160" s="141"/>
      <c r="T160" s="141"/>
      <c r="U160" s="142"/>
      <c r="V160" s="142"/>
      <c r="W160" s="1" t="s">
        <v>1329</v>
      </c>
      <c r="X160" s="108"/>
      <c r="Y160" s="108"/>
      <c r="Z160" s="296" t="s">
        <v>1087</v>
      </c>
      <c r="AA160" s="165" t="s">
        <v>1266</v>
      </c>
      <c r="AB160" s="165" t="s">
        <v>1209</v>
      </c>
      <c r="AC160" s="117"/>
      <c r="AD16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6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6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6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60"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60"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60" s="10">
        <f t="shared" si="16"/>
        <v>0</v>
      </c>
      <c r="AK160" s="10">
        <f t="shared" si="18"/>
        <v>0</v>
      </c>
      <c r="AL160" s="10">
        <f t="shared" si="17"/>
        <v>0</v>
      </c>
      <c r="AM160" s="6"/>
    </row>
    <row r="161" spans="1:39" ht="31.5" customHeight="1">
      <c r="A161" s="21" t="s">
        <v>231</v>
      </c>
      <c r="B161" s="21" t="s">
        <v>360</v>
      </c>
      <c r="C161" s="126" t="s">
        <v>437</v>
      </c>
      <c r="D161" s="129"/>
      <c r="E161" s="27"/>
      <c r="F161" s="126" t="s">
        <v>482</v>
      </c>
      <c r="G161" s="126" t="s">
        <v>483</v>
      </c>
      <c r="H161" s="1" t="s">
        <v>382</v>
      </c>
      <c r="I161" s="108" t="s">
        <v>7</v>
      </c>
      <c r="J161" s="108" t="s">
        <v>8</v>
      </c>
      <c r="K161" s="108" t="s">
        <v>7</v>
      </c>
      <c r="L161" s="97" t="s">
        <v>1032</v>
      </c>
      <c r="M161" s="108">
        <v>2014</v>
      </c>
      <c r="N161" s="155">
        <v>2017</v>
      </c>
      <c r="O161" s="142"/>
      <c r="P161" s="127"/>
      <c r="Q161" s="254"/>
      <c r="R161" s="141"/>
      <c r="S161" s="141"/>
      <c r="T161" s="141"/>
      <c r="U161" s="142"/>
      <c r="V161" s="142"/>
      <c r="W161" s="1" t="s">
        <v>1329</v>
      </c>
      <c r="X161" s="108"/>
      <c r="Y161" s="108"/>
      <c r="Z161" s="296" t="s">
        <v>1087</v>
      </c>
      <c r="AA161" s="165" t="s">
        <v>1266</v>
      </c>
      <c r="AB161" s="165" t="s">
        <v>1209</v>
      </c>
      <c r="AC161" s="117"/>
      <c r="AD16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6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6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6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61"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61"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61" s="10">
        <f t="shared" si="16"/>
        <v>0</v>
      </c>
      <c r="AK161" s="10">
        <f t="shared" si="18"/>
        <v>0</v>
      </c>
      <c r="AL161" s="10">
        <f t="shared" si="17"/>
        <v>0</v>
      </c>
      <c r="AM161" s="6"/>
    </row>
    <row r="162" spans="1:39" ht="31.5" customHeight="1">
      <c r="A162" s="21" t="s">
        <v>231</v>
      </c>
      <c r="B162" s="21" t="s">
        <v>360</v>
      </c>
      <c r="C162" s="126" t="s">
        <v>437</v>
      </c>
      <c r="D162" s="129"/>
      <c r="E162" s="27"/>
      <c r="F162" s="126" t="s">
        <v>497</v>
      </c>
      <c r="G162" s="126"/>
      <c r="H162" s="1" t="s">
        <v>382</v>
      </c>
      <c r="I162" s="108" t="s">
        <v>7</v>
      </c>
      <c r="J162" s="108" t="s">
        <v>8</v>
      </c>
      <c r="K162" s="108" t="s">
        <v>7</v>
      </c>
      <c r="L162" s="97" t="s">
        <v>444</v>
      </c>
      <c r="M162" s="108">
        <v>2019</v>
      </c>
      <c r="N162" s="155">
        <v>2022</v>
      </c>
      <c r="O162" s="142"/>
      <c r="P162" s="127"/>
      <c r="Q162" s="254"/>
      <c r="R162" s="141"/>
      <c r="S162" s="141"/>
      <c r="T162" s="141"/>
      <c r="U162" s="142"/>
      <c r="V162" s="142"/>
      <c r="W162" s="1" t="s">
        <v>1329</v>
      </c>
      <c r="X162" s="108"/>
      <c r="Y162" s="108"/>
      <c r="Z162" s="296" t="s">
        <v>1087</v>
      </c>
      <c r="AA162" s="165" t="s">
        <v>1266</v>
      </c>
      <c r="AB162" s="165" t="s">
        <v>1209</v>
      </c>
      <c r="AC162" s="117"/>
      <c r="AD16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6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6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6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62"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62"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62" s="10">
        <f t="shared" si="16"/>
        <v>0</v>
      </c>
      <c r="AK162" s="10">
        <f t="shared" si="18"/>
        <v>0</v>
      </c>
      <c r="AL162" s="10">
        <f t="shared" si="17"/>
        <v>0</v>
      </c>
      <c r="AM162" s="6"/>
    </row>
    <row r="163" spans="1:39" ht="31.5" customHeight="1">
      <c r="A163" s="21" t="s">
        <v>231</v>
      </c>
      <c r="B163" s="21" t="s">
        <v>360</v>
      </c>
      <c r="C163" s="126" t="s">
        <v>437</v>
      </c>
      <c r="D163" s="129"/>
      <c r="E163" s="27"/>
      <c r="F163" s="126" t="s">
        <v>447</v>
      </c>
      <c r="G163" s="126"/>
      <c r="H163" s="1" t="s">
        <v>382</v>
      </c>
      <c r="I163" s="108" t="s">
        <v>7</v>
      </c>
      <c r="J163" s="108" t="s">
        <v>8</v>
      </c>
      <c r="K163" s="108" t="s">
        <v>7</v>
      </c>
      <c r="L163" s="97" t="s">
        <v>1032</v>
      </c>
      <c r="M163" s="108">
        <v>2018</v>
      </c>
      <c r="N163" s="155">
        <v>2021</v>
      </c>
      <c r="O163" s="142"/>
      <c r="P163" s="127"/>
      <c r="Q163" s="254"/>
      <c r="R163" s="141"/>
      <c r="S163" s="141"/>
      <c r="T163" s="141"/>
      <c r="U163" s="142"/>
      <c r="V163" s="142"/>
      <c r="W163" s="1" t="s">
        <v>1329</v>
      </c>
      <c r="X163" s="108"/>
      <c r="Y163" s="108"/>
      <c r="Z163" s="296" t="s">
        <v>1087</v>
      </c>
      <c r="AA163" s="165" t="s">
        <v>1266</v>
      </c>
      <c r="AB163" s="165" t="s">
        <v>1209</v>
      </c>
      <c r="AC163" s="117"/>
      <c r="AD16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6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6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6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63"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63"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63" s="10">
        <f t="shared" si="16"/>
        <v>0</v>
      </c>
      <c r="AK163" s="10">
        <f t="shared" si="18"/>
        <v>0</v>
      </c>
      <c r="AL163" s="10">
        <f t="shared" si="17"/>
        <v>0</v>
      </c>
      <c r="AM163" s="6"/>
    </row>
    <row r="164" spans="1:39" ht="31.5" customHeight="1">
      <c r="A164" s="21" t="s">
        <v>231</v>
      </c>
      <c r="B164" s="21" t="s">
        <v>360</v>
      </c>
      <c r="C164" s="126" t="s">
        <v>437</v>
      </c>
      <c r="D164" s="129"/>
      <c r="E164" s="27"/>
      <c r="F164" s="126" t="s">
        <v>446</v>
      </c>
      <c r="G164" s="126"/>
      <c r="H164" s="1" t="s">
        <v>382</v>
      </c>
      <c r="I164" s="108" t="s">
        <v>7</v>
      </c>
      <c r="J164" s="108" t="s">
        <v>8</v>
      </c>
      <c r="K164" s="108" t="s">
        <v>7</v>
      </c>
      <c r="L164" s="97" t="s">
        <v>1032</v>
      </c>
      <c r="M164" s="108">
        <v>2018</v>
      </c>
      <c r="N164" s="155">
        <v>2021</v>
      </c>
      <c r="O164" s="142"/>
      <c r="P164" s="127"/>
      <c r="Q164" s="254"/>
      <c r="R164" s="141"/>
      <c r="S164" s="141"/>
      <c r="T164" s="141"/>
      <c r="U164" s="142"/>
      <c r="V164" s="142"/>
      <c r="W164" s="1" t="s">
        <v>1329</v>
      </c>
      <c r="X164" s="108"/>
      <c r="Y164" s="108"/>
      <c r="Z164" s="296" t="s">
        <v>1087</v>
      </c>
      <c r="AA164" s="165" t="s">
        <v>1266</v>
      </c>
      <c r="AB164" s="165" t="s">
        <v>1209</v>
      </c>
      <c r="AC164" s="117"/>
      <c r="AD16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6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6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6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64"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64"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64" s="10">
        <f t="shared" si="16"/>
        <v>0</v>
      </c>
      <c r="AK164" s="10">
        <f t="shared" si="18"/>
        <v>0</v>
      </c>
      <c r="AL164" s="10">
        <f t="shared" si="17"/>
        <v>0</v>
      </c>
      <c r="AM164" s="6"/>
    </row>
    <row r="165" spans="1:39" ht="31.5" customHeight="1">
      <c r="A165" s="21" t="s">
        <v>231</v>
      </c>
      <c r="B165" s="21" t="s">
        <v>360</v>
      </c>
      <c r="C165" s="126" t="s">
        <v>437</v>
      </c>
      <c r="D165" s="129"/>
      <c r="E165" s="27"/>
      <c r="F165" s="126" t="s">
        <v>445</v>
      </c>
      <c r="G165" s="126"/>
      <c r="H165" s="1" t="s">
        <v>382</v>
      </c>
      <c r="I165" s="108" t="s">
        <v>7</v>
      </c>
      <c r="J165" s="108" t="s">
        <v>8</v>
      </c>
      <c r="K165" s="108" t="s">
        <v>7</v>
      </c>
      <c r="L165" s="97" t="s">
        <v>1032</v>
      </c>
      <c r="M165" s="108">
        <v>2016</v>
      </c>
      <c r="N165" s="155">
        <v>2019</v>
      </c>
      <c r="O165" s="142"/>
      <c r="P165" s="127"/>
      <c r="Q165" s="254"/>
      <c r="R165" s="141"/>
      <c r="S165" s="141"/>
      <c r="T165" s="141"/>
      <c r="U165" s="142"/>
      <c r="V165" s="142"/>
      <c r="W165" s="1" t="s">
        <v>1329</v>
      </c>
      <c r="X165" s="108"/>
      <c r="Y165" s="108"/>
      <c r="Z165" s="296" t="s">
        <v>1087</v>
      </c>
      <c r="AA165" s="165" t="s">
        <v>1266</v>
      </c>
      <c r="AB165" s="165" t="s">
        <v>1209</v>
      </c>
      <c r="AC165" s="117"/>
      <c r="AD16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6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6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6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65"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65"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65" s="10">
        <f t="shared" si="16"/>
        <v>0</v>
      </c>
      <c r="AK165" s="10">
        <f t="shared" si="18"/>
        <v>0</v>
      </c>
      <c r="AL165" s="10">
        <f t="shared" si="17"/>
        <v>0</v>
      </c>
      <c r="AM165" s="6"/>
    </row>
    <row r="166" spans="1:39" ht="31.5" customHeight="1">
      <c r="A166" s="21" t="s">
        <v>231</v>
      </c>
      <c r="B166" s="21" t="s">
        <v>360</v>
      </c>
      <c r="C166" s="126" t="s">
        <v>437</v>
      </c>
      <c r="D166" s="129"/>
      <c r="E166" s="27"/>
      <c r="F166" s="126" t="s">
        <v>484</v>
      </c>
      <c r="G166" s="126"/>
      <c r="H166" s="1" t="s">
        <v>382</v>
      </c>
      <c r="I166" s="108" t="s">
        <v>7</v>
      </c>
      <c r="J166" s="108" t="s">
        <v>8</v>
      </c>
      <c r="K166" s="108" t="s">
        <v>7</v>
      </c>
      <c r="L166" s="97" t="s">
        <v>444</v>
      </c>
      <c r="M166" s="108">
        <v>2018</v>
      </c>
      <c r="N166" s="155">
        <v>2021</v>
      </c>
      <c r="O166" s="142"/>
      <c r="P166" s="127"/>
      <c r="Q166" s="254"/>
      <c r="R166" s="141"/>
      <c r="S166" s="141"/>
      <c r="T166" s="141"/>
      <c r="U166" s="142"/>
      <c r="V166" s="142"/>
      <c r="W166" s="1" t="s">
        <v>1329</v>
      </c>
      <c r="X166" s="108"/>
      <c r="Y166" s="108"/>
      <c r="Z166" s="296" t="s">
        <v>1087</v>
      </c>
      <c r="AA166" s="165" t="s">
        <v>1266</v>
      </c>
      <c r="AB166" s="165" t="s">
        <v>1209</v>
      </c>
      <c r="AC166" s="117"/>
      <c r="AD16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6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6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6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66"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66"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66" s="10">
        <f t="shared" si="16"/>
        <v>0</v>
      </c>
      <c r="AK166" s="10">
        <f t="shared" si="18"/>
        <v>0</v>
      </c>
      <c r="AL166" s="10">
        <f t="shared" si="17"/>
        <v>0</v>
      </c>
      <c r="AM166" s="6"/>
    </row>
    <row r="167" spans="1:39" ht="31.5" customHeight="1">
      <c r="A167" s="21" t="s">
        <v>231</v>
      </c>
      <c r="B167" s="21" t="s">
        <v>360</v>
      </c>
      <c r="C167" s="126" t="s">
        <v>437</v>
      </c>
      <c r="D167" s="129"/>
      <c r="E167" s="27"/>
      <c r="F167" s="126" t="s">
        <v>485</v>
      </c>
      <c r="G167" s="126"/>
      <c r="H167" s="1" t="s">
        <v>382</v>
      </c>
      <c r="I167" s="108" t="s">
        <v>7</v>
      </c>
      <c r="J167" s="108" t="s">
        <v>8</v>
      </c>
      <c r="K167" s="108" t="s">
        <v>7</v>
      </c>
      <c r="L167" s="97" t="s">
        <v>1032</v>
      </c>
      <c r="M167" s="108">
        <v>2015</v>
      </c>
      <c r="N167" s="155">
        <v>2018</v>
      </c>
      <c r="O167" s="142"/>
      <c r="P167" s="127"/>
      <c r="Q167" s="254"/>
      <c r="R167" s="141"/>
      <c r="S167" s="141"/>
      <c r="T167" s="141"/>
      <c r="U167" s="142"/>
      <c r="V167" s="142"/>
      <c r="W167" s="1" t="s">
        <v>1329</v>
      </c>
      <c r="X167" s="108"/>
      <c r="Y167" s="108"/>
      <c r="Z167" s="296" t="s">
        <v>1087</v>
      </c>
      <c r="AA167" s="165" t="s">
        <v>1266</v>
      </c>
      <c r="AB167" s="165" t="s">
        <v>1209</v>
      </c>
      <c r="AC167" s="117"/>
      <c r="AD16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6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6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6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67"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67"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67" s="10">
        <f t="shared" si="16"/>
        <v>0</v>
      </c>
      <c r="AK167" s="10">
        <f t="shared" si="18"/>
        <v>0</v>
      </c>
      <c r="AL167" s="10">
        <f t="shared" si="17"/>
        <v>0</v>
      </c>
      <c r="AM167" s="6"/>
    </row>
    <row r="168" spans="1:39" ht="31.5" customHeight="1">
      <c r="A168" s="21" t="s">
        <v>231</v>
      </c>
      <c r="B168" s="21" t="s">
        <v>360</v>
      </c>
      <c r="C168" s="126" t="s">
        <v>437</v>
      </c>
      <c r="D168" s="129"/>
      <c r="E168" s="27"/>
      <c r="F168" s="126" t="s">
        <v>454</v>
      </c>
      <c r="G168" s="126" t="s">
        <v>455</v>
      </c>
      <c r="H168" s="1" t="s">
        <v>382</v>
      </c>
      <c r="I168" s="108" t="s">
        <v>7</v>
      </c>
      <c r="J168" s="108" t="s">
        <v>8</v>
      </c>
      <c r="K168" s="108" t="s">
        <v>7</v>
      </c>
      <c r="L168" s="97" t="s">
        <v>449</v>
      </c>
      <c r="M168" s="108">
        <v>2015</v>
      </c>
      <c r="N168" s="155">
        <v>2018</v>
      </c>
      <c r="O168" s="142"/>
      <c r="P168" s="127"/>
      <c r="Q168" s="254"/>
      <c r="R168" s="141"/>
      <c r="S168" s="141"/>
      <c r="T168" s="141"/>
      <c r="U168" s="142"/>
      <c r="V168" s="142"/>
      <c r="W168" s="1" t="s">
        <v>1329</v>
      </c>
      <c r="X168" s="108"/>
      <c r="Y168" s="108"/>
      <c r="Z168" s="296" t="s">
        <v>1087</v>
      </c>
      <c r="AA168" s="165" t="s">
        <v>1266</v>
      </c>
      <c r="AB168" s="165" t="s">
        <v>1209</v>
      </c>
      <c r="AC168" s="117"/>
      <c r="AD16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6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6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6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68"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68"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68" s="10">
        <f t="shared" si="16"/>
        <v>0</v>
      </c>
      <c r="AK168" s="10">
        <f t="shared" si="18"/>
        <v>0</v>
      </c>
      <c r="AL168" s="10">
        <f t="shared" si="17"/>
        <v>0</v>
      </c>
      <c r="AM168" s="6"/>
    </row>
    <row r="169" spans="1:39" ht="31.5" customHeight="1">
      <c r="A169" s="21" t="s">
        <v>231</v>
      </c>
      <c r="B169" s="21" t="s">
        <v>360</v>
      </c>
      <c r="C169" s="126" t="s">
        <v>437</v>
      </c>
      <c r="D169" s="129"/>
      <c r="E169" s="27"/>
      <c r="F169" s="126" t="s">
        <v>486</v>
      </c>
      <c r="G169" s="126" t="s">
        <v>486</v>
      </c>
      <c r="H169" s="1" t="s">
        <v>382</v>
      </c>
      <c r="I169" s="108" t="s">
        <v>7</v>
      </c>
      <c r="J169" s="108" t="s">
        <v>8</v>
      </c>
      <c r="K169" s="108" t="s">
        <v>7</v>
      </c>
      <c r="L169" s="97" t="s">
        <v>1032</v>
      </c>
      <c r="M169" s="108">
        <v>2016</v>
      </c>
      <c r="N169" s="155">
        <v>2019</v>
      </c>
      <c r="O169" s="142"/>
      <c r="P169" s="127"/>
      <c r="Q169" s="254"/>
      <c r="R169" s="141"/>
      <c r="S169" s="141"/>
      <c r="T169" s="141"/>
      <c r="U169" s="142"/>
      <c r="V169" s="142"/>
      <c r="W169" s="1" t="s">
        <v>1329</v>
      </c>
      <c r="X169" s="108"/>
      <c r="Y169" s="108"/>
      <c r="Z169" s="296" t="s">
        <v>1087</v>
      </c>
      <c r="AA169" s="165" t="s">
        <v>1266</v>
      </c>
      <c r="AB169" s="165" t="s">
        <v>1209</v>
      </c>
      <c r="AC169" s="117"/>
      <c r="AD16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6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6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6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69"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69"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69" s="10">
        <f t="shared" si="16"/>
        <v>0</v>
      </c>
      <c r="AK169" s="10">
        <f t="shared" si="18"/>
        <v>0</v>
      </c>
      <c r="AL169" s="10">
        <f t="shared" si="17"/>
        <v>0</v>
      </c>
      <c r="AM169" s="6"/>
    </row>
    <row r="170" spans="1:39" ht="31.5" customHeight="1">
      <c r="A170" s="21" t="s">
        <v>231</v>
      </c>
      <c r="B170" s="21" t="s">
        <v>360</v>
      </c>
      <c r="C170" s="126" t="s">
        <v>437</v>
      </c>
      <c r="D170" s="129"/>
      <c r="E170" s="27"/>
      <c r="F170" s="126" t="s">
        <v>487</v>
      </c>
      <c r="G170" s="126" t="s">
        <v>488</v>
      </c>
      <c r="H170" s="1" t="s">
        <v>382</v>
      </c>
      <c r="I170" s="108" t="s">
        <v>7</v>
      </c>
      <c r="J170" s="108" t="s">
        <v>8</v>
      </c>
      <c r="K170" s="108" t="s">
        <v>7</v>
      </c>
      <c r="L170" s="97" t="s">
        <v>449</v>
      </c>
      <c r="M170" s="108">
        <v>2019</v>
      </c>
      <c r="N170" s="155">
        <v>2022</v>
      </c>
      <c r="O170" s="142"/>
      <c r="P170" s="127"/>
      <c r="Q170" s="254"/>
      <c r="R170" s="141"/>
      <c r="S170" s="141"/>
      <c r="T170" s="141"/>
      <c r="U170" s="142"/>
      <c r="V170" s="142"/>
      <c r="W170" s="1" t="s">
        <v>1329</v>
      </c>
      <c r="X170" s="108"/>
      <c r="Y170" s="108"/>
      <c r="Z170" s="296" t="s">
        <v>1087</v>
      </c>
      <c r="AA170" s="165" t="s">
        <v>1266</v>
      </c>
      <c r="AB170" s="165" t="s">
        <v>1209</v>
      </c>
      <c r="AC170" s="117"/>
      <c r="AD17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7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7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7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70"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70"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70" s="10">
        <f t="shared" si="16"/>
        <v>0</v>
      </c>
      <c r="AK170" s="10">
        <f t="shared" si="18"/>
        <v>0</v>
      </c>
      <c r="AL170" s="10">
        <f t="shared" si="17"/>
        <v>0</v>
      </c>
      <c r="AM170" s="6"/>
    </row>
    <row r="171" spans="1:39" ht="31.5" customHeight="1">
      <c r="A171" s="21" t="s">
        <v>231</v>
      </c>
      <c r="B171" s="21" t="s">
        <v>360</v>
      </c>
      <c r="C171" s="126" t="s">
        <v>437</v>
      </c>
      <c r="D171" s="129"/>
      <c r="E171" s="27"/>
      <c r="F171" s="126" t="s">
        <v>489</v>
      </c>
      <c r="G171" s="126" t="s">
        <v>55</v>
      </c>
      <c r="H171" s="1" t="s">
        <v>382</v>
      </c>
      <c r="I171" s="108" t="s">
        <v>7</v>
      </c>
      <c r="J171" s="108" t="s">
        <v>8</v>
      </c>
      <c r="K171" s="108" t="s">
        <v>7</v>
      </c>
      <c r="L171" s="97" t="s">
        <v>1032</v>
      </c>
      <c r="M171" s="108">
        <v>2016</v>
      </c>
      <c r="N171" s="155">
        <v>2019</v>
      </c>
      <c r="O171" s="142"/>
      <c r="P171" s="127"/>
      <c r="Q171" s="254"/>
      <c r="R171" s="141"/>
      <c r="S171" s="141"/>
      <c r="T171" s="141"/>
      <c r="U171" s="142"/>
      <c r="V171" s="142"/>
      <c r="W171" s="1" t="s">
        <v>1329</v>
      </c>
      <c r="X171" s="108"/>
      <c r="Y171" s="108"/>
      <c r="Z171" s="296" t="s">
        <v>1087</v>
      </c>
      <c r="AA171" s="165" t="s">
        <v>1266</v>
      </c>
      <c r="AB171" s="165" t="s">
        <v>1209</v>
      </c>
      <c r="AC171" s="117"/>
      <c r="AD17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7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7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7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71"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71"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71" s="10">
        <f t="shared" si="16"/>
        <v>0</v>
      </c>
      <c r="AK171" s="10">
        <f t="shared" si="18"/>
        <v>0</v>
      </c>
      <c r="AL171" s="10">
        <f t="shared" si="17"/>
        <v>0</v>
      </c>
      <c r="AM171" s="6"/>
    </row>
    <row r="172" spans="1:39" ht="31.5" customHeight="1">
      <c r="A172" s="21" t="s">
        <v>231</v>
      </c>
      <c r="B172" s="21" t="s">
        <v>360</v>
      </c>
      <c r="C172" s="126" t="s">
        <v>437</v>
      </c>
      <c r="D172" s="129"/>
      <c r="E172" s="27"/>
      <c r="F172" s="126" t="s">
        <v>493</v>
      </c>
      <c r="G172" s="126" t="s">
        <v>494</v>
      </c>
      <c r="H172" s="1" t="s">
        <v>382</v>
      </c>
      <c r="I172" s="108" t="s">
        <v>7</v>
      </c>
      <c r="J172" s="108" t="s">
        <v>8</v>
      </c>
      <c r="K172" s="108" t="s">
        <v>7</v>
      </c>
      <c r="L172" s="97" t="s">
        <v>1054</v>
      </c>
      <c r="M172" s="108">
        <v>2012</v>
      </c>
      <c r="N172" s="155">
        <v>2015</v>
      </c>
      <c r="O172" s="142"/>
      <c r="P172" s="127"/>
      <c r="Q172" s="254"/>
      <c r="R172" s="141"/>
      <c r="S172" s="141"/>
      <c r="T172" s="141"/>
      <c r="U172" s="142"/>
      <c r="V172" s="142"/>
      <c r="W172" s="1" t="s">
        <v>1329</v>
      </c>
      <c r="X172" s="108"/>
      <c r="Y172" s="108"/>
      <c r="Z172" s="296" t="s">
        <v>1087</v>
      </c>
      <c r="AA172" s="165" t="s">
        <v>1266</v>
      </c>
      <c r="AB172" s="165" t="s">
        <v>1209</v>
      </c>
      <c r="AC172" s="117"/>
      <c r="AD17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7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7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7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72"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72"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72" s="10">
        <f t="shared" si="16"/>
        <v>0</v>
      </c>
      <c r="AK172" s="10">
        <f t="shared" si="18"/>
        <v>0</v>
      </c>
      <c r="AL172" s="10">
        <f t="shared" si="17"/>
        <v>0</v>
      </c>
      <c r="AM172" s="6"/>
    </row>
    <row r="173" spans="1:39" ht="31.5" customHeight="1">
      <c r="A173" s="21" t="s">
        <v>231</v>
      </c>
      <c r="B173" s="21" t="s">
        <v>360</v>
      </c>
      <c r="C173" s="126" t="s">
        <v>437</v>
      </c>
      <c r="D173" s="129"/>
      <c r="E173" s="27"/>
      <c r="F173" s="126" t="s">
        <v>456</v>
      </c>
      <c r="G173" s="126" t="s">
        <v>457</v>
      </c>
      <c r="H173" s="1" t="s">
        <v>382</v>
      </c>
      <c r="I173" s="108" t="s">
        <v>7</v>
      </c>
      <c r="J173" s="108" t="s">
        <v>8</v>
      </c>
      <c r="K173" s="108" t="s">
        <v>7</v>
      </c>
      <c r="L173" s="97" t="s">
        <v>449</v>
      </c>
      <c r="M173" s="108">
        <v>2014</v>
      </c>
      <c r="N173" s="155">
        <v>2015</v>
      </c>
      <c r="O173" s="142"/>
      <c r="P173" s="127"/>
      <c r="Q173" s="254"/>
      <c r="R173" s="141"/>
      <c r="S173" s="141"/>
      <c r="T173" s="141"/>
      <c r="U173" s="142"/>
      <c r="V173" s="142"/>
      <c r="W173" s="1" t="s">
        <v>1329</v>
      </c>
      <c r="X173" s="108"/>
      <c r="Y173" s="108"/>
      <c r="Z173" s="296" t="s">
        <v>1087</v>
      </c>
      <c r="AA173" s="165" t="s">
        <v>1266</v>
      </c>
      <c r="AB173" s="165" t="s">
        <v>1209</v>
      </c>
      <c r="AC173" s="117"/>
      <c r="AD17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7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7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7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73"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73"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73" s="10">
        <f t="shared" si="16"/>
        <v>0</v>
      </c>
      <c r="AK173" s="10">
        <f t="shared" si="18"/>
        <v>0</v>
      </c>
      <c r="AL173" s="10">
        <f t="shared" si="17"/>
        <v>0</v>
      </c>
      <c r="AM173" s="6"/>
    </row>
    <row r="174" spans="1:39" s="49" customFormat="1" ht="31.5" customHeight="1">
      <c r="A174" s="69" t="s">
        <v>231</v>
      </c>
      <c r="B174" s="69" t="s">
        <v>360</v>
      </c>
      <c r="C174" s="70" t="s">
        <v>438</v>
      </c>
      <c r="D174" s="80"/>
      <c r="E174" s="71"/>
      <c r="F174" s="70" t="s">
        <v>1003</v>
      </c>
      <c r="G174" s="70"/>
      <c r="H174" s="1" t="s">
        <v>6</v>
      </c>
      <c r="I174" s="107" t="s">
        <v>7</v>
      </c>
      <c r="J174" s="107" t="s">
        <v>8</v>
      </c>
      <c r="K174" s="107" t="s">
        <v>7</v>
      </c>
      <c r="L174" s="73" t="s">
        <v>1032</v>
      </c>
      <c r="M174" s="99" t="s">
        <v>29</v>
      </c>
      <c r="N174" s="99" t="s">
        <v>29</v>
      </c>
      <c r="O174" s="139">
        <v>4549.46</v>
      </c>
      <c r="P174" s="74"/>
      <c r="Q174" s="253"/>
      <c r="R174" s="139">
        <v>35.18</v>
      </c>
      <c r="S174" s="140">
        <v>283.64999999999998</v>
      </c>
      <c r="T174" s="143">
        <v>197.51</v>
      </c>
      <c r="U174" s="139">
        <v>3905.99</v>
      </c>
      <c r="V174" s="157">
        <v>127.13</v>
      </c>
      <c r="W174" s="52" t="s">
        <v>1329</v>
      </c>
      <c r="X174" s="122" t="s">
        <v>19</v>
      </c>
      <c r="Y174" s="113" t="s">
        <v>249</v>
      </c>
      <c r="Z174" s="297"/>
      <c r="AA174" s="165" t="s">
        <v>1266</v>
      </c>
      <c r="AB174" s="165" t="s">
        <v>1209</v>
      </c>
      <c r="AC174" s="117" t="s">
        <v>10</v>
      </c>
      <c r="AD17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7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35.18</v>
      </c>
      <c r="AF17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283.64999999999998</v>
      </c>
      <c r="AG17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197.51</v>
      </c>
      <c r="AH174"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3905.99</v>
      </c>
      <c r="AI174"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127.13</v>
      </c>
      <c r="AJ174" s="10">
        <f t="shared" si="16"/>
        <v>516.33999999999992</v>
      </c>
      <c r="AK174" s="10">
        <f t="shared" si="18"/>
        <v>4033.12</v>
      </c>
      <c r="AL174" s="10">
        <f t="shared" si="17"/>
        <v>4549.46</v>
      </c>
    </row>
    <row r="175" spans="1:39" s="49" customFormat="1" ht="31.5" customHeight="1">
      <c r="A175" s="69" t="s">
        <v>231</v>
      </c>
      <c r="B175" s="69" t="s">
        <v>360</v>
      </c>
      <c r="C175" s="70" t="s">
        <v>438</v>
      </c>
      <c r="D175" s="80"/>
      <c r="E175" s="71"/>
      <c r="F175" s="70" t="s">
        <v>1002</v>
      </c>
      <c r="G175" s="70"/>
      <c r="H175" s="1" t="s">
        <v>6</v>
      </c>
      <c r="I175" s="107" t="s">
        <v>7</v>
      </c>
      <c r="J175" s="107" t="s">
        <v>8</v>
      </c>
      <c r="K175" s="107" t="s">
        <v>7</v>
      </c>
      <c r="L175" s="73" t="s">
        <v>449</v>
      </c>
      <c r="M175" s="99" t="s">
        <v>29</v>
      </c>
      <c r="N175" s="99" t="s">
        <v>29</v>
      </c>
      <c r="O175" s="139">
        <v>6145.92</v>
      </c>
      <c r="P175" s="74"/>
      <c r="Q175" s="253"/>
      <c r="R175" s="139"/>
      <c r="S175" s="140">
        <v>374.18</v>
      </c>
      <c r="T175" s="143">
        <v>540.15</v>
      </c>
      <c r="U175" s="139">
        <v>5129.59</v>
      </c>
      <c r="V175" s="157">
        <v>102</v>
      </c>
      <c r="W175" s="52" t="s">
        <v>1329</v>
      </c>
      <c r="X175" s="122" t="s">
        <v>19</v>
      </c>
      <c r="Y175" s="113" t="s">
        <v>249</v>
      </c>
      <c r="Z175" s="297"/>
      <c r="AA175" s="165" t="s">
        <v>1266</v>
      </c>
      <c r="AB175" s="165" t="s">
        <v>1209</v>
      </c>
      <c r="AC175" s="117" t="s">
        <v>10</v>
      </c>
      <c r="AD17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7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7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374.18</v>
      </c>
      <c r="AG17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540.15</v>
      </c>
      <c r="AH175"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5129.59</v>
      </c>
      <c r="AI175"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102</v>
      </c>
      <c r="AJ175" s="10">
        <f t="shared" si="16"/>
        <v>914.32999999999993</v>
      </c>
      <c r="AK175" s="10">
        <f>+SUM(AH175:AI175)</f>
        <v>5231.59</v>
      </c>
      <c r="AL175" s="10">
        <f t="shared" si="17"/>
        <v>6145.92</v>
      </c>
    </row>
    <row r="176" spans="1:39" s="49" customFormat="1" ht="31.5" customHeight="1">
      <c r="A176" s="69" t="s">
        <v>231</v>
      </c>
      <c r="B176" s="69" t="s">
        <v>360</v>
      </c>
      <c r="C176" s="70" t="s">
        <v>438</v>
      </c>
      <c r="D176" s="80"/>
      <c r="E176" s="71"/>
      <c r="F176" s="70" t="s">
        <v>1008</v>
      </c>
      <c r="G176" s="70"/>
      <c r="H176" s="1" t="s">
        <v>6</v>
      </c>
      <c r="I176" s="107" t="s">
        <v>7</v>
      </c>
      <c r="J176" s="107" t="s">
        <v>8</v>
      </c>
      <c r="K176" s="107" t="s">
        <v>7</v>
      </c>
      <c r="L176" s="73" t="s">
        <v>1054</v>
      </c>
      <c r="M176" s="99" t="s">
        <v>29</v>
      </c>
      <c r="N176" s="99" t="s">
        <v>29</v>
      </c>
      <c r="O176" s="139">
        <v>2048</v>
      </c>
      <c r="P176" s="74"/>
      <c r="Q176" s="253">
        <v>126.63</v>
      </c>
      <c r="R176" s="139">
        <v>128.69999999999999</v>
      </c>
      <c r="S176" s="140">
        <v>997.8</v>
      </c>
      <c r="T176" s="143">
        <v>689.43</v>
      </c>
      <c r="U176" s="139">
        <v>105.44</v>
      </c>
      <c r="V176" s="157"/>
      <c r="W176" s="52" t="s">
        <v>1329</v>
      </c>
      <c r="X176" s="122" t="s">
        <v>19</v>
      </c>
      <c r="Y176" s="113" t="s">
        <v>249</v>
      </c>
      <c r="Z176" s="297"/>
      <c r="AA176" s="165" t="s">
        <v>1266</v>
      </c>
      <c r="AB176" s="165" t="s">
        <v>1209</v>
      </c>
      <c r="AC176" s="117" t="s">
        <v>10</v>
      </c>
      <c r="AD17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126.63</v>
      </c>
      <c r="AE17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128.69999999999999</v>
      </c>
      <c r="AF17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997.8</v>
      </c>
      <c r="AG17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689.43</v>
      </c>
      <c r="AH176"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105.44</v>
      </c>
      <c r="AI176"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76" s="10">
        <f t="shared" si="16"/>
        <v>1942.56</v>
      </c>
      <c r="AK176" s="10">
        <f>+SUM(AH176:AI176)</f>
        <v>105.44</v>
      </c>
      <c r="AL176" s="10">
        <f t="shared" si="17"/>
        <v>1921.37</v>
      </c>
    </row>
    <row r="177" spans="1:39" ht="31.5" customHeight="1">
      <c r="A177" s="21" t="s">
        <v>231</v>
      </c>
      <c r="B177" s="21" t="s">
        <v>360</v>
      </c>
      <c r="C177" s="126" t="s">
        <v>438</v>
      </c>
      <c r="D177" s="129"/>
      <c r="E177" s="27"/>
      <c r="F177" s="126" t="s">
        <v>524</v>
      </c>
      <c r="G177" s="126"/>
      <c r="H177" s="1" t="s">
        <v>17</v>
      </c>
      <c r="I177" s="108" t="s">
        <v>7</v>
      </c>
      <c r="J177" s="108" t="s">
        <v>8</v>
      </c>
      <c r="K177" s="108" t="s">
        <v>7</v>
      </c>
      <c r="L177" s="97" t="s">
        <v>1032</v>
      </c>
      <c r="M177" s="55">
        <v>2014</v>
      </c>
      <c r="N177" s="55">
        <v>2015</v>
      </c>
      <c r="O177" s="142"/>
      <c r="P177" s="127"/>
      <c r="Q177" s="254"/>
      <c r="R177" s="141"/>
      <c r="S177" s="141"/>
      <c r="T177" s="141"/>
      <c r="U177" s="142"/>
      <c r="V177" s="142"/>
      <c r="W177" s="1" t="s">
        <v>1329</v>
      </c>
      <c r="X177" s="108"/>
      <c r="Y177" s="108"/>
      <c r="Z177" s="296" t="s">
        <v>1087</v>
      </c>
      <c r="AA177" s="165" t="s">
        <v>1266</v>
      </c>
      <c r="AB177" s="165" t="s">
        <v>1209</v>
      </c>
      <c r="AC177" s="117"/>
      <c r="AD17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7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7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7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77"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77"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77" s="10">
        <f t="shared" si="16"/>
        <v>0</v>
      </c>
      <c r="AK177" s="10">
        <f t="shared" si="18"/>
        <v>0</v>
      </c>
      <c r="AL177" s="10">
        <f t="shared" si="17"/>
        <v>0</v>
      </c>
      <c r="AM177" s="6"/>
    </row>
    <row r="178" spans="1:39" ht="31.5" customHeight="1">
      <c r="A178" s="21" t="s">
        <v>231</v>
      </c>
      <c r="B178" s="21" t="s">
        <v>360</v>
      </c>
      <c r="C178" s="126" t="s">
        <v>438</v>
      </c>
      <c r="D178" s="129"/>
      <c r="E178" s="27"/>
      <c r="F178" s="126" t="s">
        <v>536</v>
      </c>
      <c r="G178" s="126"/>
      <c r="H178" s="1" t="s">
        <v>17</v>
      </c>
      <c r="I178" s="108" t="s">
        <v>7</v>
      </c>
      <c r="J178" s="108" t="s">
        <v>8</v>
      </c>
      <c r="K178" s="108" t="s">
        <v>7</v>
      </c>
      <c r="L178" s="97" t="s">
        <v>449</v>
      </c>
      <c r="M178" s="54">
        <v>2013</v>
      </c>
      <c r="N178" s="54">
        <v>2015</v>
      </c>
      <c r="O178" s="142"/>
      <c r="P178" s="127"/>
      <c r="Q178" s="254"/>
      <c r="R178" s="141"/>
      <c r="S178" s="141"/>
      <c r="T178" s="141"/>
      <c r="U178" s="142"/>
      <c r="V178" s="142"/>
      <c r="W178" s="1" t="s">
        <v>1329</v>
      </c>
      <c r="X178" s="108"/>
      <c r="Y178" s="108"/>
      <c r="Z178" s="296" t="s">
        <v>1087</v>
      </c>
      <c r="AA178" s="165" t="s">
        <v>1266</v>
      </c>
      <c r="AB178" s="165" t="s">
        <v>1209</v>
      </c>
      <c r="AC178" s="117"/>
      <c r="AD17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7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7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7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78"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78"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78" s="10">
        <f t="shared" si="16"/>
        <v>0</v>
      </c>
      <c r="AK178" s="10">
        <f t="shared" si="18"/>
        <v>0</v>
      </c>
      <c r="AL178" s="10">
        <f t="shared" si="17"/>
        <v>0</v>
      </c>
      <c r="AM178" s="6"/>
    </row>
    <row r="179" spans="1:39" ht="31.5" customHeight="1">
      <c r="A179" s="21" t="s">
        <v>231</v>
      </c>
      <c r="B179" s="21" t="s">
        <v>360</v>
      </c>
      <c r="C179" s="126" t="s">
        <v>438</v>
      </c>
      <c r="D179" s="129"/>
      <c r="E179" s="27"/>
      <c r="F179" s="126" t="s">
        <v>554</v>
      </c>
      <c r="G179" s="126"/>
      <c r="H179" s="1" t="s">
        <v>17</v>
      </c>
      <c r="I179" s="108" t="s">
        <v>7</v>
      </c>
      <c r="J179" s="108" t="s">
        <v>8</v>
      </c>
      <c r="K179" s="108" t="s">
        <v>7</v>
      </c>
      <c r="L179" s="97" t="s">
        <v>1032</v>
      </c>
      <c r="M179" s="54">
        <v>2016</v>
      </c>
      <c r="N179" s="54">
        <v>2018</v>
      </c>
      <c r="O179" s="142"/>
      <c r="P179" s="127"/>
      <c r="Q179" s="254"/>
      <c r="R179" s="141"/>
      <c r="S179" s="141"/>
      <c r="T179" s="141"/>
      <c r="U179" s="142"/>
      <c r="V179" s="142"/>
      <c r="W179" s="1" t="s">
        <v>1329</v>
      </c>
      <c r="X179" s="108"/>
      <c r="Y179" s="108"/>
      <c r="Z179" s="296" t="s">
        <v>1087</v>
      </c>
      <c r="AA179" s="165" t="s">
        <v>1266</v>
      </c>
      <c r="AB179" s="165" t="s">
        <v>1209</v>
      </c>
      <c r="AC179" s="117"/>
      <c r="AD17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7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7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7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79"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79"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79" s="10">
        <f t="shared" si="16"/>
        <v>0</v>
      </c>
      <c r="AK179" s="10">
        <f t="shared" si="18"/>
        <v>0</v>
      </c>
      <c r="AL179" s="10">
        <f t="shared" si="17"/>
        <v>0</v>
      </c>
      <c r="AM179" s="6"/>
    </row>
    <row r="180" spans="1:39" ht="31.5" customHeight="1">
      <c r="A180" s="21" t="s">
        <v>231</v>
      </c>
      <c r="B180" s="21" t="s">
        <v>360</v>
      </c>
      <c r="C180" s="126" t="s">
        <v>438</v>
      </c>
      <c r="D180" s="129"/>
      <c r="E180" s="27"/>
      <c r="F180" s="126" t="s">
        <v>516</v>
      </c>
      <c r="G180" s="126"/>
      <c r="H180" s="1" t="s">
        <v>17</v>
      </c>
      <c r="I180" s="108" t="s">
        <v>7</v>
      </c>
      <c r="J180" s="108" t="s">
        <v>8</v>
      </c>
      <c r="K180" s="108" t="s">
        <v>7</v>
      </c>
      <c r="L180" s="97" t="s">
        <v>449</v>
      </c>
      <c r="M180" s="54">
        <v>2019</v>
      </c>
      <c r="N180" s="54">
        <v>2021</v>
      </c>
      <c r="O180" s="142"/>
      <c r="P180" s="127"/>
      <c r="Q180" s="254"/>
      <c r="R180" s="141"/>
      <c r="S180" s="141"/>
      <c r="T180" s="141"/>
      <c r="U180" s="142"/>
      <c r="V180" s="142"/>
      <c r="W180" s="1" t="s">
        <v>1329</v>
      </c>
      <c r="X180" s="108"/>
      <c r="Y180" s="108"/>
      <c r="Z180" s="296" t="s">
        <v>1087</v>
      </c>
      <c r="AA180" s="165" t="s">
        <v>1266</v>
      </c>
      <c r="AB180" s="165" t="s">
        <v>1209</v>
      </c>
      <c r="AC180" s="117"/>
      <c r="AD18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8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8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8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80"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80"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80" s="10">
        <f t="shared" si="16"/>
        <v>0</v>
      </c>
      <c r="AK180" s="10">
        <f t="shared" si="18"/>
        <v>0</v>
      </c>
      <c r="AL180" s="10">
        <f t="shared" si="17"/>
        <v>0</v>
      </c>
      <c r="AM180" s="6"/>
    </row>
    <row r="181" spans="1:39" ht="31.5" customHeight="1">
      <c r="A181" s="21" t="s">
        <v>231</v>
      </c>
      <c r="B181" s="21" t="s">
        <v>360</v>
      </c>
      <c r="C181" s="126" t="s">
        <v>438</v>
      </c>
      <c r="D181" s="129"/>
      <c r="E181" s="27"/>
      <c r="F181" s="126" t="s">
        <v>540</v>
      </c>
      <c r="G181" s="126"/>
      <c r="H181" s="1" t="s">
        <v>17</v>
      </c>
      <c r="I181" s="108" t="s">
        <v>7</v>
      </c>
      <c r="J181" s="108" t="s">
        <v>8</v>
      </c>
      <c r="K181" s="108" t="s">
        <v>7</v>
      </c>
      <c r="L181" s="97" t="s">
        <v>1054</v>
      </c>
      <c r="M181" s="54">
        <v>2013</v>
      </c>
      <c r="N181" s="54">
        <v>2015</v>
      </c>
      <c r="O181" s="142"/>
      <c r="P181" s="127"/>
      <c r="Q181" s="254"/>
      <c r="R181" s="141"/>
      <c r="S181" s="141"/>
      <c r="T181" s="141"/>
      <c r="U181" s="142"/>
      <c r="V181" s="142"/>
      <c r="W181" s="1" t="s">
        <v>1329</v>
      </c>
      <c r="X181" s="108"/>
      <c r="Y181" s="108"/>
      <c r="Z181" s="296" t="s">
        <v>1087</v>
      </c>
      <c r="AA181" s="165" t="s">
        <v>1266</v>
      </c>
      <c r="AB181" s="165" t="s">
        <v>1209</v>
      </c>
      <c r="AC181" s="117"/>
      <c r="AD18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8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8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8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81"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81"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81" s="10">
        <f t="shared" si="16"/>
        <v>0</v>
      </c>
      <c r="AK181" s="10">
        <f t="shared" si="18"/>
        <v>0</v>
      </c>
      <c r="AL181" s="10">
        <f t="shared" si="17"/>
        <v>0</v>
      </c>
      <c r="AM181" s="6"/>
    </row>
    <row r="182" spans="1:39" ht="31.5" customHeight="1">
      <c r="A182" s="21" t="s">
        <v>231</v>
      </c>
      <c r="B182" s="21" t="s">
        <v>360</v>
      </c>
      <c r="C182" s="126" t="s">
        <v>438</v>
      </c>
      <c r="D182" s="129"/>
      <c r="E182" s="27"/>
      <c r="F182" s="126" t="s">
        <v>511</v>
      </c>
      <c r="G182" s="126"/>
      <c r="H182" s="1" t="s">
        <v>17</v>
      </c>
      <c r="I182" s="108" t="s">
        <v>7</v>
      </c>
      <c r="J182" s="108" t="s">
        <v>8</v>
      </c>
      <c r="K182" s="108" t="s">
        <v>7</v>
      </c>
      <c r="L182" s="97" t="s">
        <v>1032</v>
      </c>
      <c r="M182" s="54">
        <v>2019</v>
      </c>
      <c r="N182" s="54">
        <v>2021</v>
      </c>
      <c r="O182" s="142"/>
      <c r="P182" s="127"/>
      <c r="Q182" s="254"/>
      <c r="R182" s="141"/>
      <c r="S182" s="141"/>
      <c r="T182" s="141"/>
      <c r="U182" s="142"/>
      <c r="V182" s="142"/>
      <c r="W182" s="1" t="s">
        <v>1329</v>
      </c>
      <c r="X182" s="108"/>
      <c r="Y182" s="108"/>
      <c r="Z182" s="296" t="s">
        <v>1087</v>
      </c>
      <c r="AA182" s="165" t="s">
        <v>1266</v>
      </c>
      <c r="AB182" s="165" t="s">
        <v>1209</v>
      </c>
      <c r="AC182" s="117"/>
      <c r="AD18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8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8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8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82"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82"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82" s="10">
        <f t="shared" si="16"/>
        <v>0</v>
      </c>
      <c r="AK182" s="10">
        <f t="shared" si="18"/>
        <v>0</v>
      </c>
      <c r="AL182" s="10">
        <f t="shared" si="17"/>
        <v>0</v>
      </c>
      <c r="AM182" s="6"/>
    </row>
    <row r="183" spans="1:39" ht="31.5" customHeight="1">
      <c r="A183" s="21" t="s">
        <v>231</v>
      </c>
      <c r="B183" s="21" t="s">
        <v>360</v>
      </c>
      <c r="C183" s="126" t="s">
        <v>438</v>
      </c>
      <c r="D183" s="129"/>
      <c r="E183" s="27"/>
      <c r="F183" s="126" t="s">
        <v>531</v>
      </c>
      <c r="G183" s="126"/>
      <c r="H183" s="1" t="s">
        <v>17</v>
      </c>
      <c r="I183" s="108" t="s">
        <v>7</v>
      </c>
      <c r="J183" s="108" t="s">
        <v>8</v>
      </c>
      <c r="K183" s="108" t="s">
        <v>7</v>
      </c>
      <c r="L183" s="97" t="s">
        <v>449</v>
      </c>
      <c r="M183" s="54">
        <v>2013</v>
      </c>
      <c r="N183" s="54">
        <v>2015</v>
      </c>
      <c r="O183" s="142"/>
      <c r="P183" s="127"/>
      <c r="Q183" s="254"/>
      <c r="R183" s="141"/>
      <c r="S183" s="141"/>
      <c r="T183" s="141"/>
      <c r="U183" s="142"/>
      <c r="V183" s="142"/>
      <c r="W183" s="1" t="s">
        <v>1329</v>
      </c>
      <c r="X183" s="108"/>
      <c r="Y183" s="108"/>
      <c r="Z183" s="296" t="s">
        <v>1087</v>
      </c>
      <c r="AA183" s="165" t="s">
        <v>1266</v>
      </c>
      <c r="AB183" s="165" t="s">
        <v>1209</v>
      </c>
      <c r="AC183" s="117"/>
      <c r="AD18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8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8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8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83"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83"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83" s="10">
        <f t="shared" si="16"/>
        <v>0</v>
      </c>
      <c r="AK183" s="10">
        <f t="shared" si="18"/>
        <v>0</v>
      </c>
      <c r="AL183" s="10">
        <f t="shared" si="17"/>
        <v>0</v>
      </c>
      <c r="AM183" s="6"/>
    </row>
    <row r="184" spans="1:39" ht="31.5" customHeight="1">
      <c r="A184" s="21" t="s">
        <v>231</v>
      </c>
      <c r="B184" s="21" t="s">
        <v>360</v>
      </c>
      <c r="C184" s="126" t="s">
        <v>438</v>
      </c>
      <c r="D184" s="129"/>
      <c r="E184" s="27"/>
      <c r="F184" s="126" t="s">
        <v>535</v>
      </c>
      <c r="G184" s="126"/>
      <c r="H184" s="1" t="s">
        <v>17</v>
      </c>
      <c r="I184" s="108" t="s">
        <v>7</v>
      </c>
      <c r="J184" s="108" t="s">
        <v>8</v>
      </c>
      <c r="K184" s="108" t="s">
        <v>7</v>
      </c>
      <c r="L184" s="97" t="s">
        <v>449</v>
      </c>
      <c r="M184" s="86">
        <v>2013</v>
      </c>
      <c r="N184" s="54">
        <v>2015</v>
      </c>
      <c r="O184" s="142"/>
      <c r="P184" s="127"/>
      <c r="Q184" s="254"/>
      <c r="R184" s="141"/>
      <c r="S184" s="141"/>
      <c r="T184" s="141"/>
      <c r="U184" s="142"/>
      <c r="V184" s="142"/>
      <c r="W184" s="1" t="s">
        <v>1329</v>
      </c>
      <c r="X184" s="108"/>
      <c r="Y184" s="108"/>
      <c r="Z184" s="296" t="s">
        <v>1087</v>
      </c>
      <c r="AA184" s="165" t="s">
        <v>1266</v>
      </c>
      <c r="AB184" s="165" t="s">
        <v>1209</v>
      </c>
      <c r="AC184" s="117"/>
      <c r="AD18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8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8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8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84"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84"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84" s="10">
        <f t="shared" si="16"/>
        <v>0</v>
      </c>
      <c r="AK184" s="10">
        <f t="shared" si="18"/>
        <v>0</v>
      </c>
      <c r="AL184" s="10">
        <f t="shared" si="17"/>
        <v>0</v>
      </c>
      <c r="AM184" s="6"/>
    </row>
    <row r="185" spans="1:39" ht="31.5" customHeight="1">
      <c r="A185" s="21" t="s">
        <v>231</v>
      </c>
      <c r="B185" s="21" t="s">
        <v>360</v>
      </c>
      <c r="C185" s="126" t="s">
        <v>438</v>
      </c>
      <c r="D185" s="129"/>
      <c r="E185" s="27"/>
      <c r="F185" s="126" t="s">
        <v>528</v>
      </c>
      <c r="G185" s="126"/>
      <c r="H185" s="1" t="s">
        <v>17</v>
      </c>
      <c r="I185" s="108" t="s">
        <v>7</v>
      </c>
      <c r="J185" s="108" t="s">
        <v>8</v>
      </c>
      <c r="K185" s="108" t="s">
        <v>7</v>
      </c>
      <c r="L185" s="97" t="s">
        <v>1032</v>
      </c>
      <c r="M185" s="54">
        <v>2017</v>
      </c>
      <c r="N185" s="54">
        <v>2019</v>
      </c>
      <c r="O185" s="142"/>
      <c r="P185" s="127"/>
      <c r="Q185" s="254"/>
      <c r="R185" s="141"/>
      <c r="S185" s="141"/>
      <c r="T185" s="141"/>
      <c r="U185" s="142"/>
      <c r="V185" s="142"/>
      <c r="W185" s="1" t="s">
        <v>1329</v>
      </c>
      <c r="X185" s="108"/>
      <c r="Y185" s="108"/>
      <c r="Z185" s="296" t="s">
        <v>1087</v>
      </c>
      <c r="AA185" s="165" t="s">
        <v>1266</v>
      </c>
      <c r="AB185" s="165" t="s">
        <v>1209</v>
      </c>
      <c r="AC185" s="117"/>
      <c r="AD18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8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8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8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85"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85"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85" s="10">
        <f t="shared" si="16"/>
        <v>0</v>
      </c>
      <c r="AK185" s="10">
        <f t="shared" si="18"/>
        <v>0</v>
      </c>
      <c r="AL185" s="10">
        <f t="shared" si="17"/>
        <v>0</v>
      </c>
      <c r="AM185" s="6"/>
    </row>
    <row r="186" spans="1:39" ht="31.5" customHeight="1">
      <c r="A186" s="21" t="s">
        <v>231</v>
      </c>
      <c r="B186" s="21" t="s">
        <v>360</v>
      </c>
      <c r="C186" s="126" t="s">
        <v>438</v>
      </c>
      <c r="D186" s="129"/>
      <c r="E186" s="27"/>
      <c r="F186" s="126" t="s">
        <v>519</v>
      </c>
      <c r="G186" s="126"/>
      <c r="H186" s="1" t="s">
        <v>23</v>
      </c>
      <c r="I186" s="108" t="s">
        <v>7</v>
      </c>
      <c r="J186" s="108" t="s">
        <v>8</v>
      </c>
      <c r="K186" s="108" t="s">
        <v>7</v>
      </c>
      <c r="L186" s="97" t="s">
        <v>449</v>
      </c>
      <c r="M186" s="86">
        <v>2015</v>
      </c>
      <c r="N186" s="54">
        <v>2017</v>
      </c>
      <c r="O186" s="142"/>
      <c r="P186" s="127"/>
      <c r="Q186" s="254"/>
      <c r="R186" s="141"/>
      <c r="S186" s="141"/>
      <c r="T186" s="141"/>
      <c r="U186" s="142"/>
      <c r="V186" s="142"/>
      <c r="W186" s="1" t="s">
        <v>1329</v>
      </c>
      <c r="X186" s="108"/>
      <c r="Y186" s="108"/>
      <c r="Z186" s="296" t="s">
        <v>1087</v>
      </c>
      <c r="AA186" s="165" t="s">
        <v>1266</v>
      </c>
      <c r="AB186" s="165" t="s">
        <v>1209</v>
      </c>
      <c r="AC186" s="117"/>
      <c r="AD18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8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8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8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86"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86"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86" s="10">
        <f t="shared" si="16"/>
        <v>0</v>
      </c>
      <c r="AK186" s="10">
        <f t="shared" si="18"/>
        <v>0</v>
      </c>
      <c r="AL186" s="10">
        <f t="shared" si="17"/>
        <v>0</v>
      </c>
      <c r="AM186" s="6"/>
    </row>
    <row r="187" spans="1:39" ht="31.5" customHeight="1">
      <c r="A187" s="21" t="s">
        <v>231</v>
      </c>
      <c r="B187" s="21" t="s">
        <v>360</v>
      </c>
      <c r="C187" s="126" t="s">
        <v>438</v>
      </c>
      <c r="D187" s="129"/>
      <c r="E187" s="27"/>
      <c r="F187" s="126" t="s">
        <v>508</v>
      </c>
      <c r="G187" s="126"/>
      <c r="H187" s="1" t="s">
        <v>23</v>
      </c>
      <c r="I187" s="108" t="s">
        <v>7</v>
      </c>
      <c r="J187" s="108" t="s">
        <v>8</v>
      </c>
      <c r="K187" s="108" t="s">
        <v>7</v>
      </c>
      <c r="L187" s="97" t="s">
        <v>1032</v>
      </c>
      <c r="M187" s="54">
        <v>2015</v>
      </c>
      <c r="N187" s="54">
        <v>2017</v>
      </c>
      <c r="O187" s="142"/>
      <c r="P187" s="127"/>
      <c r="Q187" s="254"/>
      <c r="R187" s="141"/>
      <c r="S187" s="141"/>
      <c r="T187" s="141"/>
      <c r="U187" s="142"/>
      <c r="V187" s="142"/>
      <c r="W187" s="1" t="s">
        <v>1329</v>
      </c>
      <c r="X187" s="108"/>
      <c r="Y187" s="108"/>
      <c r="Z187" s="296" t="s">
        <v>1087</v>
      </c>
      <c r="AA187" s="165" t="s">
        <v>1266</v>
      </c>
      <c r="AB187" s="165" t="s">
        <v>1209</v>
      </c>
      <c r="AC187" s="117"/>
      <c r="AD18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8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8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8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87"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87"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87" s="10">
        <f t="shared" si="16"/>
        <v>0</v>
      </c>
      <c r="AK187" s="10">
        <f t="shared" si="18"/>
        <v>0</v>
      </c>
      <c r="AL187" s="10">
        <f t="shared" si="17"/>
        <v>0</v>
      </c>
      <c r="AM187" s="6"/>
    </row>
    <row r="188" spans="1:39" ht="31.5" customHeight="1">
      <c r="A188" s="21" t="s">
        <v>231</v>
      </c>
      <c r="B188" s="21" t="s">
        <v>360</v>
      </c>
      <c r="C188" s="126" t="s">
        <v>438</v>
      </c>
      <c r="D188" s="129"/>
      <c r="E188" s="27"/>
      <c r="F188" s="126" t="s">
        <v>521</v>
      </c>
      <c r="G188" s="126"/>
      <c r="H188" s="1" t="s">
        <v>23</v>
      </c>
      <c r="I188" s="108" t="s">
        <v>7</v>
      </c>
      <c r="J188" s="108" t="s">
        <v>8</v>
      </c>
      <c r="K188" s="108" t="s">
        <v>7</v>
      </c>
      <c r="L188" s="97" t="s">
        <v>1032</v>
      </c>
      <c r="M188" s="55">
        <v>2017</v>
      </c>
      <c r="N188" s="55">
        <v>2019</v>
      </c>
      <c r="O188" s="142"/>
      <c r="P188" s="127"/>
      <c r="Q188" s="254"/>
      <c r="R188" s="141"/>
      <c r="S188" s="141"/>
      <c r="T188" s="141"/>
      <c r="U188" s="142"/>
      <c r="V188" s="142"/>
      <c r="W188" s="1" t="s">
        <v>1329</v>
      </c>
      <c r="X188" s="108"/>
      <c r="Y188" s="108"/>
      <c r="Z188" s="296" t="s">
        <v>1087</v>
      </c>
      <c r="AA188" s="165" t="s">
        <v>1266</v>
      </c>
      <c r="AB188" s="165" t="s">
        <v>1209</v>
      </c>
      <c r="AC188" s="117"/>
      <c r="AD18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8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8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8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88"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88"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88" s="10">
        <f t="shared" si="16"/>
        <v>0</v>
      </c>
      <c r="AK188" s="10">
        <f t="shared" si="18"/>
        <v>0</v>
      </c>
      <c r="AL188" s="10">
        <f t="shared" si="17"/>
        <v>0</v>
      </c>
      <c r="AM188" s="6"/>
    </row>
    <row r="189" spans="1:39" ht="31.5" customHeight="1">
      <c r="A189" s="21" t="s">
        <v>231</v>
      </c>
      <c r="B189" s="21" t="s">
        <v>360</v>
      </c>
      <c r="C189" s="126" t="s">
        <v>438</v>
      </c>
      <c r="D189" s="129"/>
      <c r="E189" s="27"/>
      <c r="F189" s="126" t="s">
        <v>507</v>
      </c>
      <c r="G189" s="126"/>
      <c r="H189" s="1" t="s">
        <v>17</v>
      </c>
      <c r="I189" s="108" t="s">
        <v>7</v>
      </c>
      <c r="J189" s="108" t="s">
        <v>8</v>
      </c>
      <c r="K189" s="108" t="s">
        <v>7</v>
      </c>
      <c r="L189" s="97" t="s">
        <v>1032</v>
      </c>
      <c r="M189" s="55">
        <v>2014</v>
      </c>
      <c r="N189" s="55">
        <v>2015</v>
      </c>
      <c r="O189" s="142"/>
      <c r="P189" s="127"/>
      <c r="Q189" s="254"/>
      <c r="R189" s="141"/>
      <c r="S189" s="141"/>
      <c r="T189" s="141"/>
      <c r="U189" s="142"/>
      <c r="V189" s="142"/>
      <c r="W189" s="1" t="s">
        <v>1329</v>
      </c>
      <c r="X189" s="108"/>
      <c r="Y189" s="108"/>
      <c r="Z189" s="296" t="s">
        <v>1087</v>
      </c>
      <c r="AA189" s="165" t="s">
        <v>1266</v>
      </c>
      <c r="AB189" s="165" t="s">
        <v>1209</v>
      </c>
      <c r="AC189" s="117"/>
      <c r="AD18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8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8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8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89"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89"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89" s="10">
        <f t="shared" si="16"/>
        <v>0</v>
      </c>
      <c r="AK189" s="10">
        <f t="shared" si="18"/>
        <v>0</v>
      </c>
      <c r="AL189" s="10">
        <f t="shared" si="17"/>
        <v>0</v>
      </c>
      <c r="AM189" s="6"/>
    </row>
    <row r="190" spans="1:39" ht="31.5" customHeight="1">
      <c r="A190" s="21" t="s">
        <v>231</v>
      </c>
      <c r="B190" s="21" t="s">
        <v>360</v>
      </c>
      <c r="C190" s="126" t="s">
        <v>438</v>
      </c>
      <c r="D190" s="129"/>
      <c r="E190" s="27"/>
      <c r="F190" s="126" t="s">
        <v>548</v>
      </c>
      <c r="G190" s="126"/>
      <c r="H190" s="1" t="s">
        <v>17</v>
      </c>
      <c r="I190" s="108" t="s">
        <v>7</v>
      </c>
      <c r="J190" s="108" t="s">
        <v>8</v>
      </c>
      <c r="K190" s="108" t="s">
        <v>7</v>
      </c>
      <c r="L190" s="97" t="s">
        <v>449</v>
      </c>
      <c r="M190" s="55">
        <v>2014</v>
      </c>
      <c r="N190" s="55">
        <v>2016</v>
      </c>
      <c r="O190" s="142"/>
      <c r="P190" s="127"/>
      <c r="Q190" s="254"/>
      <c r="R190" s="141"/>
      <c r="S190" s="141"/>
      <c r="T190" s="141"/>
      <c r="U190" s="142"/>
      <c r="V190" s="142"/>
      <c r="W190" s="1" t="s">
        <v>1329</v>
      </c>
      <c r="X190" s="108"/>
      <c r="Y190" s="108"/>
      <c r="Z190" s="296" t="s">
        <v>1087</v>
      </c>
      <c r="AA190" s="165" t="s">
        <v>1266</v>
      </c>
      <c r="AB190" s="165" t="s">
        <v>1209</v>
      </c>
      <c r="AC190" s="117"/>
      <c r="AD19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9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9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9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90"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90"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90" s="10">
        <f t="shared" si="16"/>
        <v>0</v>
      </c>
      <c r="AK190" s="10">
        <f t="shared" si="18"/>
        <v>0</v>
      </c>
      <c r="AL190" s="10">
        <f t="shared" si="17"/>
        <v>0</v>
      </c>
      <c r="AM190" s="6"/>
    </row>
    <row r="191" spans="1:39" ht="31.5" customHeight="1">
      <c r="A191" s="21" t="s">
        <v>231</v>
      </c>
      <c r="B191" s="21" t="s">
        <v>360</v>
      </c>
      <c r="C191" s="126" t="s">
        <v>438</v>
      </c>
      <c r="D191" s="129"/>
      <c r="E191" s="27"/>
      <c r="F191" s="126" t="s">
        <v>538</v>
      </c>
      <c r="G191" s="126"/>
      <c r="H191" s="1" t="s">
        <v>17</v>
      </c>
      <c r="I191" s="108" t="s">
        <v>7</v>
      </c>
      <c r="J191" s="108" t="s">
        <v>8</v>
      </c>
      <c r="K191" s="108" t="s">
        <v>7</v>
      </c>
      <c r="L191" s="97" t="s">
        <v>1032</v>
      </c>
      <c r="M191" s="55">
        <v>2016</v>
      </c>
      <c r="N191" s="55">
        <v>2018</v>
      </c>
      <c r="O191" s="142"/>
      <c r="P191" s="127"/>
      <c r="Q191" s="254"/>
      <c r="R191" s="141"/>
      <c r="S191" s="141"/>
      <c r="T191" s="141"/>
      <c r="U191" s="142"/>
      <c r="V191" s="142"/>
      <c r="W191" s="1" t="s">
        <v>1329</v>
      </c>
      <c r="X191" s="108"/>
      <c r="Y191" s="108"/>
      <c r="Z191" s="296" t="s">
        <v>1087</v>
      </c>
      <c r="AA191" s="165" t="s">
        <v>1266</v>
      </c>
      <c r="AB191" s="165" t="s">
        <v>1209</v>
      </c>
      <c r="AC191" s="117"/>
      <c r="AD19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9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9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9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91"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91"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91" s="10">
        <f t="shared" si="16"/>
        <v>0</v>
      </c>
      <c r="AK191" s="10">
        <f t="shared" si="18"/>
        <v>0</v>
      </c>
      <c r="AL191" s="10">
        <f t="shared" si="17"/>
        <v>0</v>
      </c>
      <c r="AM191" s="6"/>
    </row>
    <row r="192" spans="1:39" ht="31.5" customHeight="1">
      <c r="A192" s="21" t="s">
        <v>231</v>
      </c>
      <c r="B192" s="21" t="s">
        <v>360</v>
      </c>
      <c r="C192" s="126" t="s">
        <v>438</v>
      </c>
      <c r="D192" s="129"/>
      <c r="E192" s="27"/>
      <c r="F192" s="126" t="s">
        <v>529</v>
      </c>
      <c r="G192" s="126"/>
      <c r="H192" s="1" t="s">
        <v>17</v>
      </c>
      <c r="I192" s="108" t="s">
        <v>7</v>
      </c>
      <c r="J192" s="108" t="s">
        <v>8</v>
      </c>
      <c r="K192" s="108" t="s">
        <v>7</v>
      </c>
      <c r="L192" s="97" t="s">
        <v>1032</v>
      </c>
      <c r="M192" s="55">
        <v>2014</v>
      </c>
      <c r="N192" s="55">
        <v>2014</v>
      </c>
      <c r="O192" s="142"/>
      <c r="P192" s="127"/>
      <c r="Q192" s="254"/>
      <c r="R192" s="141"/>
      <c r="S192" s="141"/>
      <c r="T192" s="141"/>
      <c r="U192" s="142"/>
      <c r="V192" s="142"/>
      <c r="W192" s="1" t="s">
        <v>1329</v>
      </c>
      <c r="X192" s="108"/>
      <c r="Y192" s="108"/>
      <c r="Z192" s="296" t="s">
        <v>1087</v>
      </c>
      <c r="AA192" s="165" t="s">
        <v>1266</v>
      </c>
      <c r="AB192" s="165" t="s">
        <v>1209</v>
      </c>
      <c r="AC192" s="117"/>
      <c r="AD19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9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9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9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92"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92"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92" s="10">
        <f t="shared" si="16"/>
        <v>0</v>
      </c>
      <c r="AK192" s="10">
        <f t="shared" si="18"/>
        <v>0</v>
      </c>
      <c r="AL192" s="10">
        <f t="shared" si="17"/>
        <v>0</v>
      </c>
      <c r="AM192" s="6"/>
    </row>
    <row r="193" spans="1:39" ht="31.5" customHeight="1">
      <c r="A193" s="21" t="s">
        <v>231</v>
      </c>
      <c r="B193" s="21" t="s">
        <v>360</v>
      </c>
      <c r="C193" s="126" t="s">
        <v>438</v>
      </c>
      <c r="D193" s="129"/>
      <c r="E193" s="27"/>
      <c r="F193" s="126" t="s">
        <v>505</v>
      </c>
      <c r="G193" s="126"/>
      <c r="H193" s="1" t="s">
        <v>17</v>
      </c>
      <c r="I193" s="108" t="s">
        <v>7</v>
      </c>
      <c r="J193" s="108" t="s">
        <v>8</v>
      </c>
      <c r="K193" s="108" t="s">
        <v>7</v>
      </c>
      <c r="L193" s="97" t="s">
        <v>449</v>
      </c>
      <c r="M193" s="55">
        <v>2016</v>
      </c>
      <c r="N193" s="55">
        <v>2018</v>
      </c>
      <c r="O193" s="142"/>
      <c r="P193" s="127"/>
      <c r="Q193" s="254"/>
      <c r="R193" s="141"/>
      <c r="S193" s="141"/>
      <c r="T193" s="141"/>
      <c r="U193" s="142"/>
      <c r="V193" s="142"/>
      <c r="W193" s="1" t="s">
        <v>1329</v>
      </c>
      <c r="X193" s="108"/>
      <c r="Y193" s="108"/>
      <c r="Z193" s="296" t="s">
        <v>1087</v>
      </c>
      <c r="AA193" s="165" t="s">
        <v>1266</v>
      </c>
      <c r="AB193" s="165" t="s">
        <v>1209</v>
      </c>
      <c r="AC193" s="117"/>
      <c r="AD19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9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9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9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93"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93"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93" s="10">
        <f t="shared" si="16"/>
        <v>0</v>
      </c>
      <c r="AK193" s="10">
        <f t="shared" si="18"/>
        <v>0</v>
      </c>
      <c r="AL193" s="10">
        <f t="shared" si="17"/>
        <v>0</v>
      </c>
      <c r="AM193" s="6"/>
    </row>
    <row r="194" spans="1:39" ht="31.5" customHeight="1">
      <c r="A194" s="21" t="s">
        <v>231</v>
      </c>
      <c r="B194" s="21" t="s">
        <v>360</v>
      </c>
      <c r="C194" s="126" t="s">
        <v>438</v>
      </c>
      <c r="D194" s="129"/>
      <c r="E194" s="27"/>
      <c r="F194" s="126" t="s">
        <v>512</v>
      </c>
      <c r="G194" s="126"/>
      <c r="H194" s="1" t="s">
        <v>17</v>
      </c>
      <c r="I194" s="108" t="s">
        <v>7</v>
      </c>
      <c r="J194" s="108" t="s">
        <v>8</v>
      </c>
      <c r="K194" s="108" t="s">
        <v>7</v>
      </c>
      <c r="L194" s="97" t="s">
        <v>449</v>
      </c>
      <c r="M194" s="55">
        <v>2013</v>
      </c>
      <c r="N194" s="55">
        <v>2015</v>
      </c>
      <c r="O194" s="142"/>
      <c r="P194" s="127"/>
      <c r="Q194" s="254"/>
      <c r="R194" s="141"/>
      <c r="S194" s="141"/>
      <c r="T194" s="141"/>
      <c r="U194" s="142"/>
      <c r="V194" s="142"/>
      <c r="W194" s="1" t="s">
        <v>1329</v>
      </c>
      <c r="X194" s="108"/>
      <c r="Y194" s="108"/>
      <c r="Z194" s="296" t="s">
        <v>1087</v>
      </c>
      <c r="AA194" s="165" t="s">
        <v>1266</v>
      </c>
      <c r="AB194" s="165" t="s">
        <v>1209</v>
      </c>
      <c r="AC194" s="117"/>
      <c r="AD19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9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9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9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94"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94"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94" s="10">
        <f t="shared" ref="AJ194:AJ257" si="19">SUM(AD194:AG194)</f>
        <v>0</v>
      </c>
      <c r="AK194" s="10">
        <f t="shared" si="18"/>
        <v>0</v>
      </c>
      <c r="AL194" s="10">
        <f t="shared" ref="AL194:AL257" si="20">+AJ194+AK194-AD194</f>
        <v>0</v>
      </c>
      <c r="AM194" s="6"/>
    </row>
    <row r="195" spans="1:39" ht="31.5" customHeight="1">
      <c r="A195" s="21" t="s">
        <v>231</v>
      </c>
      <c r="B195" s="21" t="s">
        <v>360</v>
      </c>
      <c r="C195" s="126" t="s">
        <v>438</v>
      </c>
      <c r="D195" s="129"/>
      <c r="E195" s="27"/>
      <c r="F195" s="126" t="s">
        <v>525</v>
      </c>
      <c r="G195" s="126"/>
      <c r="H195" s="1" t="s">
        <v>17</v>
      </c>
      <c r="I195" s="108" t="s">
        <v>7</v>
      </c>
      <c r="J195" s="108" t="s">
        <v>8</v>
      </c>
      <c r="K195" s="108" t="s">
        <v>7</v>
      </c>
      <c r="L195" s="97" t="s">
        <v>1032</v>
      </c>
      <c r="M195" s="55">
        <v>2015</v>
      </c>
      <c r="N195" s="55">
        <v>2017</v>
      </c>
      <c r="O195" s="142"/>
      <c r="P195" s="127"/>
      <c r="Q195" s="254"/>
      <c r="R195" s="141"/>
      <c r="S195" s="141"/>
      <c r="T195" s="141"/>
      <c r="U195" s="142"/>
      <c r="V195" s="142"/>
      <c r="W195" s="1" t="s">
        <v>1329</v>
      </c>
      <c r="X195" s="108"/>
      <c r="Y195" s="108"/>
      <c r="Z195" s="296" t="s">
        <v>1087</v>
      </c>
      <c r="AA195" s="165" t="s">
        <v>1266</v>
      </c>
      <c r="AB195" s="165" t="s">
        <v>1209</v>
      </c>
      <c r="AC195" s="117"/>
      <c r="AD19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9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9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9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95"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95"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95" s="10">
        <f t="shared" si="19"/>
        <v>0</v>
      </c>
      <c r="AK195" s="10">
        <f t="shared" si="18"/>
        <v>0</v>
      </c>
      <c r="AL195" s="10">
        <f t="shared" si="20"/>
        <v>0</v>
      </c>
      <c r="AM195" s="6"/>
    </row>
    <row r="196" spans="1:39" ht="31.5" customHeight="1">
      <c r="A196" s="21" t="s">
        <v>231</v>
      </c>
      <c r="B196" s="21" t="s">
        <v>360</v>
      </c>
      <c r="C196" s="126" t="s">
        <v>438</v>
      </c>
      <c r="D196" s="129"/>
      <c r="E196" s="27"/>
      <c r="F196" s="126" t="s">
        <v>552</v>
      </c>
      <c r="G196" s="126"/>
      <c r="H196" s="1" t="s">
        <v>23</v>
      </c>
      <c r="I196" s="108" t="s">
        <v>7</v>
      </c>
      <c r="J196" s="108" t="s">
        <v>8</v>
      </c>
      <c r="K196" s="108" t="s">
        <v>7</v>
      </c>
      <c r="L196" s="97" t="s">
        <v>1032</v>
      </c>
      <c r="M196" s="55">
        <v>2017</v>
      </c>
      <c r="N196" s="55">
        <v>2019</v>
      </c>
      <c r="O196" s="142"/>
      <c r="P196" s="127"/>
      <c r="Q196" s="254"/>
      <c r="R196" s="141"/>
      <c r="S196" s="141"/>
      <c r="T196" s="141"/>
      <c r="U196" s="142"/>
      <c r="V196" s="142"/>
      <c r="W196" s="1" t="s">
        <v>1329</v>
      </c>
      <c r="X196" s="108"/>
      <c r="Y196" s="108"/>
      <c r="Z196" s="296" t="s">
        <v>1087</v>
      </c>
      <c r="AA196" s="165" t="s">
        <v>1266</v>
      </c>
      <c r="AB196" s="165" t="s">
        <v>1209</v>
      </c>
      <c r="AC196" s="117"/>
      <c r="AD19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9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9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9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96"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96"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96" s="10">
        <f t="shared" si="19"/>
        <v>0</v>
      </c>
      <c r="AK196" s="10">
        <f t="shared" si="18"/>
        <v>0</v>
      </c>
      <c r="AL196" s="10">
        <f t="shared" si="20"/>
        <v>0</v>
      </c>
      <c r="AM196" s="6"/>
    </row>
    <row r="197" spans="1:39" ht="31.5" customHeight="1">
      <c r="A197" s="21" t="s">
        <v>231</v>
      </c>
      <c r="B197" s="21" t="s">
        <v>360</v>
      </c>
      <c r="C197" s="126" t="s">
        <v>438</v>
      </c>
      <c r="D197" s="129"/>
      <c r="E197" s="27"/>
      <c r="F197" s="126" t="s">
        <v>532</v>
      </c>
      <c r="G197" s="126"/>
      <c r="H197" s="1" t="s">
        <v>17</v>
      </c>
      <c r="I197" s="108" t="s">
        <v>7</v>
      </c>
      <c r="J197" s="108" t="s">
        <v>8</v>
      </c>
      <c r="K197" s="108" t="s">
        <v>7</v>
      </c>
      <c r="L197" s="97" t="s">
        <v>1032</v>
      </c>
      <c r="M197" s="55">
        <v>2017</v>
      </c>
      <c r="N197" s="55">
        <v>2019</v>
      </c>
      <c r="O197" s="142"/>
      <c r="P197" s="127"/>
      <c r="Q197" s="254"/>
      <c r="R197" s="141"/>
      <c r="S197" s="141"/>
      <c r="T197" s="141"/>
      <c r="U197" s="142"/>
      <c r="V197" s="142"/>
      <c r="W197" s="1" t="s">
        <v>1329</v>
      </c>
      <c r="X197" s="108"/>
      <c r="Y197" s="108"/>
      <c r="Z197" s="296" t="s">
        <v>1087</v>
      </c>
      <c r="AA197" s="165" t="s">
        <v>1266</v>
      </c>
      <c r="AB197" s="165" t="s">
        <v>1209</v>
      </c>
      <c r="AC197" s="117"/>
      <c r="AD19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9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9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9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97"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97"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97" s="10">
        <f t="shared" si="19"/>
        <v>0</v>
      </c>
      <c r="AK197" s="10">
        <f t="shared" si="18"/>
        <v>0</v>
      </c>
      <c r="AL197" s="10">
        <f t="shared" si="20"/>
        <v>0</v>
      </c>
      <c r="AM197" s="6"/>
    </row>
    <row r="198" spans="1:39" ht="31.5" customHeight="1">
      <c r="A198" s="21" t="s">
        <v>231</v>
      </c>
      <c r="B198" s="21" t="s">
        <v>360</v>
      </c>
      <c r="C198" s="126" t="s">
        <v>438</v>
      </c>
      <c r="D198" s="129"/>
      <c r="E198" s="27"/>
      <c r="F198" s="126" t="s">
        <v>539</v>
      </c>
      <c r="G198" s="126"/>
      <c r="H198" s="1" t="s">
        <v>23</v>
      </c>
      <c r="I198" s="108" t="s">
        <v>7</v>
      </c>
      <c r="J198" s="108" t="s">
        <v>8</v>
      </c>
      <c r="K198" s="108" t="s">
        <v>7</v>
      </c>
      <c r="L198" s="97" t="s">
        <v>1032</v>
      </c>
      <c r="M198" s="55">
        <v>2017</v>
      </c>
      <c r="N198" s="55">
        <v>2019</v>
      </c>
      <c r="O198" s="142"/>
      <c r="P198" s="127"/>
      <c r="Q198" s="254"/>
      <c r="R198" s="141"/>
      <c r="S198" s="141"/>
      <c r="T198" s="141"/>
      <c r="U198" s="142"/>
      <c r="V198" s="142"/>
      <c r="W198" s="1" t="s">
        <v>1329</v>
      </c>
      <c r="X198" s="108"/>
      <c r="Y198" s="108"/>
      <c r="Z198" s="296" t="s">
        <v>1087</v>
      </c>
      <c r="AA198" s="165" t="s">
        <v>1266</v>
      </c>
      <c r="AB198" s="165" t="s">
        <v>1209</v>
      </c>
      <c r="AC198" s="117"/>
      <c r="AD19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9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9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9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98"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98"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98" s="10">
        <f t="shared" si="19"/>
        <v>0</v>
      </c>
      <c r="AK198" s="10">
        <f t="shared" si="18"/>
        <v>0</v>
      </c>
      <c r="AL198" s="10">
        <f t="shared" si="20"/>
        <v>0</v>
      </c>
      <c r="AM198" s="6"/>
    </row>
    <row r="199" spans="1:39" ht="31.5" customHeight="1">
      <c r="A199" s="21" t="s">
        <v>231</v>
      </c>
      <c r="B199" s="21" t="s">
        <v>360</v>
      </c>
      <c r="C199" s="126" t="s">
        <v>438</v>
      </c>
      <c r="D199" s="129"/>
      <c r="E199" s="27"/>
      <c r="F199" s="126" t="s">
        <v>547</v>
      </c>
      <c r="G199" s="126"/>
      <c r="H199" s="1" t="s">
        <v>21</v>
      </c>
      <c r="I199" s="108" t="s">
        <v>7</v>
      </c>
      <c r="J199" s="108" t="s">
        <v>8</v>
      </c>
      <c r="K199" s="108" t="s">
        <v>7</v>
      </c>
      <c r="L199" s="97" t="s">
        <v>449</v>
      </c>
      <c r="M199" s="55">
        <v>2015</v>
      </c>
      <c r="N199" s="55">
        <v>2017</v>
      </c>
      <c r="O199" s="142"/>
      <c r="P199" s="127"/>
      <c r="Q199" s="254"/>
      <c r="R199" s="141"/>
      <c r="S199" s="141"/>
      <c r="T199" s="141"/>
      <c r="U199" s="142"/>
      <c r="V199" s="142"/>
      <c r="W199" s="1" t="s">
        <v>1329</v>
      </c>
      <c r="X199" s="108"/>
      <c r="Y199" s="108"/>
      <c r="Z199" s="296" t="s">
        <v>1087</v>
      </c>
      <c r="AA199" s="165" t="s">
        <v>1266</v>
      </c>
      <c r="AB199" s="165" t="s">
        <v>1209</v>
      </c>
      <c r="AC199" s="117"/>
      <c r="AD19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19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19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19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199"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199"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199" s="10">
        <f t="shared" si="19"/>
        <v>0</v>
      </c>
      <c r="AK199" s="10">
        <f t="shared" si="18"/>
        <v>0</v>
      </c>
      <c r="AL199" s="10">
        <f t="shared" si="20"/>
        <v>0</v>
      </c>
      <c r="AM199" s="6"/>
    </row>
    <row r="200" spans="1:39" ht="31.5" customHeight="1">
      <c r="A200" s="21" t="s">
        <v>231</v>
      </c>
      <c r="B200" s="21" t="s">
        <v>360</v>
      </c>
      <c r="C200" s="126" t="s">
        <v>438</v>
      </c>
      <c r="D200" s="129"/>
      <c r="E200" s="27"/>
      <c r="F200" s="126" t="s">
        <v>550</v>
      </c>
      <c r="G200" s="126"/>
      <c r="H200" s="1" t="s">
        <v>17</v>
      </c>
      <c r="I200" s="108" t="s">
        <v>7</v>
      </c>
      <c r="J200" s="108" t="s">
        <v>8</v>
      </c>
      <c r="K200" s="108" t="s">
        <v>7</v>
      </c>
      <c r="L200" s="97" t="s">
        <v>449</v>
      </c>
      <c r="M200" s="55">
        <v>2015</v>
      </c>
      <c r="N200" s="55">
        <v>2017</v>
      </c>
      <c r="O200" s="142"/>
      <c r="P200" s="127"/>
      <c r="Q200" s="254"/>
      <c r="R200" s="141"/>
      <c r="S200" s="141"/>
      <c r="T200" s="141"/>
      <c r="U200" s="142"/>
      <c r="V200" s="142"/>
      <c r="W200" s="1" t="s">
        <v>1329</v>
      </c>
      <c r="X200" s="108"/>
      <c r="Y200" s="108"/>
      <c r="Z200" s="296" t="s">
        <v>1087</v>
      </c>
      <c r="AA200" s="165" t="s">
        <v>1266</v>
      </c>
      <c r="AB200" s="165" t="s">
        <v>1209</v>
      </c>
      <c r="AC200" s="117"/>
      <c r="AD20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0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0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0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00"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00"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00" s="10">
        <f t="shared" si="19"/>
        <v>0</v>
      </c>
      <c r="AK200" s="10">
        <f t="shared" si="18"/>
        <v>0</v>
      </c>
      <c r="AL200" s="10">
        <f t="shared" si="20"/>
        <v>0</v>
      </c>
      <c r="AM200" s="6"/>
    </row>
    <row r="201" spans="1:39" ht="31.5" customHeight="1">
      <c r="A201" s="21" t="s">
        <v>231</v>
      </c>
      <c r="B201" s="21" t="s">
        <v>360</v>
      </c>
      <c r="C201" s="126" t="s">
        <v>438</v>
      </c>
      <c r="D201" s="129"/>
      <c r="E201" s="27"/>
      <c r="F201" s="126" t="s">
        <v>517</v>
      </c>
      <c r="G201" s="126"/>
      <c r="H201" s="1" t="s">
        <v>17</v>
      </c>
      <c r="I201" s="108" t="s">
        <v>7</v>
      </c>
      <c r="J201" s="108" t="s">
        <v>8</v>
      </c>
      <c r="K201" s="108" t="s">
        <v>7</v>
      </c>
      <c r="L201" s="97" t="s">
        <v>1032</v>
      </c>
      <c r="M201" s="55">
        <v>2017</v>
      </c>
      <c r="N201" s="55">
        <v>2019</v>
      </c>
      <c r="O201" s="142"/>
      <c r="P201" s="127"/>
      <c r="Q201" s="254"/>
      <c r="R201" s="141"/>
      <c r="S201" s="141"/>
      <c r="T201" s="141"/>
      <c r="U201" s="142"/>
      <c r="V201" s="142"/>
      <c r="W201" s="1" t="s">
        <v>1329</v>
      </c>
      <c r="X201" s="108"/>
      <c r="Y201" s="108"/>
      <c r="Z201" s="296" t="s">
        <v>1087</v>
      </c>
      <c r="AA201" s="165" t="s">
        <v>1266</v>
      </c>
      <c r="AB201" s="165" t="s">
        <v>1209</v>
      </c>
      <c r="AC201" s="117"/>
      <c r="AD20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0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0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0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01"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01"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01" s="10">
        <f t="shared" si="19"/>
        <v>0</v>
      </c>
      <c r="AK201" s="10">
        <f t="shared" si="18"/>
        <v>0</v>
      </c>
      <c r="AL201" s="10">
        <f t="shared" si="20"/>
        <v>0</v>
      </c>
      <c r="AM201" s="6"/>
    </row>
    <row r="202" spans="1:39" ht="31.5" customHeight="1">
      <c r="A202" s="21" t="s">
        <v>231</v>
      </c>
      <c r="B202" s="21" t="s">
        <v>360</v>
      </c>
      <c r="C202" s="126" t="s">
        <v>438</v>
      </c>
      <c r="D202" s="129"/>
      <c r="E202" s="27"/>
      <c r="F202" s="126" t="s">
        <v>522</v>
      </c>
      <c r="G202" s="126"/>
      <c r="H202" s="1" t="s">
        <v>17</v>
      </c>
      <c r="I202" s="108" t="s">
        <v>7</v>
      </c>
      <c r="J202" s="108" t="s">
        <v>8</v>
      </c>
      <c r="K202" s="108" t="s">
        <v>7</v>
      </c>
      <c r="L202" s="97" t="s">
        <v>1032</v>
      </c>
      <c r="M202" s="55">
        <v>2018</v>
      </c>
      <c r="N202" s="55">
        <v>2020</v>
      </c>
      <c r="O202" s="142"/>
      <c r="P202" s="127"/>
      <c r="Q202" s="254"/>
      <c r="R202" s="141"/>
      <c r="S202" s="141"/>
      <c r="T202" s="141"/>
      <c r="U202" s="142"/>
      <c r="V202" s="142"/>
      <c r="W202" s="1" t="s">
        <v>1329</v>
      </c>
      <c r="X202" s="108"/>
      <c r="Y202" s="108"/>
      <c r="Z202" s="296" t="s">
        <v>1087</v>
      </c>
      <c r="AA202" s="165" t="s">
        <v>1266</v>
      </c>
      <c r="AB202" s="165" t="s">
        <v>1209</v>
      </c>
      <c r="AC202" s="117"/>
      <c r="AD20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0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0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0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02"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02"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02" s="10">
        <f t="shared" si="19"/>
        <v>0</v>
      </c>
      <c r="AK202" s="10">
        <f t="shared" si="18"/>
        <v>0</v>
      </c>
      <c r="AL202" s="10">
        <f t="shared" si="20"/>
        <v>0</v>
      </c>
      <c r="AM202" s="6"/>
    </row>
    <row r="203" spans="1:39" ht="31.5" customHeight="1">
      <c r="A203" s="21" t="s">
        <v>231</v>
      </c>
      <c r="B203" s="21" t="s">
        <v>360</v>
      </c>
      <c r="C203" s="126" t="s">
        <v>438</v>
      </c>
      <c r="D203" s="129"/>
      <c r="E203" s="27"/>
      <c r="F203" s="126" t="s">
        <v>504</v>
      </c>
      <c r="G203" s="126"/>
      <c r="H203" s="1" t="s">
        <v>17</v>
      </c>
      <c r="I203" s="108" t="s">
        <v>7</v>
      </c>
      <c r="J203" s="108" t="s">
        <v>8</v>
      </c>
      <c r="K203" s="108" t="s">
        <v>7</v>
      </c>
      <c r="L203" s="97" t="s">
        <v>1054</v>
      </c>
      <c r="M203" s="55">
        <v>2012</v>
      </c>
      <c r="N203" s="55">
        <v>2014</v>
      </c>
      <c r="O203" s="142"/>
      <c r="P203" s="127"/>
      <c r="Q203" s="254"/>
      <c r="R203" s="141"/>
      <c r="S203" s="141"/>
      <c r="T203" s="141"/>
      <c r="U203" s="142"/>
      <c r="V203" s="142"/>
      <c r="W203" s="1" t="s">
        <v>1329</v>
      </c>
      <c r="X203" s="108"/>
      <c r="Y203" s="108"/>
      <c r="Z203" s="296" t="s">
        <v>1087</v>
      </c>
      <c r="AA203" s="165" t="s">
        <v>1266</v>
      </c>
      <c r="AB203" s="165" t="s">
        <v>1209</v>
      </c>
      <c r="AC203" s="117"/>
      <c r="AD20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0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0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0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03"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03"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03" s="10">
        <f t="shared" si="19"/>
        <v>0</v>
      </c>
      <c r="AK203" s="10">
        <f t="shared" si="18"/>
        <v>0</v>
      </c>
      <c r="AL203" s="10">
        <f t="shared" si="20"/>
        <v>0</v>
      </c>
      <c r="AM203" s="6"/>
    </row>
    <row r="204" spans="1:39" ht="31.5" customHeight="1">
      <c r="A204" s="21" t="s">
        <v>231</v>
      </c>
      <c r="B204" s="21" t="s">
        <v>360</v>
      </c>
      <c r="C204" s="126" t="s">
        <v>438</v>
      </c>
      <c r="D204" s="129"/>
      <c r="E204" s="27"/>
      <c r="F204" s="126" t="s">
        <v>542</v>
      </c>
      <c r="G204" s="126"/>
      <c r="H204" s="1" t="s">
        <v>20</v>
      </c>
      <c r="I204" s="108" t="s">
        <v>7</v>
      </c>
      <c r="J204" s="108" t="s">
        <v>8</v>
      </c>
      <c r="K204" s="108" t="s">
        <v>7</v>
      </c>
      <c r="L204" s="97" t="s">
        <v>1054</v>
      </c>
      <c r="M204" s="55">
        <v>2013</v>
      </c>
      <c r="N204" s="55">
        <v>2015</v>
      </c>
      <c r="O204" s="142"/>
      <c r="P204" s="127"/>
      <c r="Q204" s="254"/>
      <c r="R204" s="141"/>
      <c r="S204" s="141"/>
      <c r="T204" s="141"/>
      <c r="U204" s="142"/>
      <c r="V204" s="142"/>
      <c r="W204" s="1" t="s">
        <v>1329</v>
      </c>
      <c r="X204" s="108"/>
      <c r="Y204" s="108"/>
      <c r="Z204" s="296" t="s">
        <v>1087</v>
      </c>
      <c r="AA204" s="165" t="s">
        <v>1266</v>
      </c>
      <c r="AB204" s="165" t="s">
        <v>1209</v>
      </c>
      <c r="AC204" s="117"/>
      <c r="AD20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0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0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0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04"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04"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04" s="10">
        <f t="shared" si="19"/>
        <v>0</v>
      </c>
      <c r="AK204" s="10">
        <f t="shared" si="18"/>
        <v>0</v>
      </c>
      <c r="AL204" s="10">
        <f t="shared" si="20"/>
        <v>0</v>
      </c>
      <c r="AM204" s="6"/>
    </row>
    <row r="205" spans="1:39" ht="31.5" customHeight="1">
      <c r="A205" s="21" t="s">
        <v>231</v>
      </c>
      <c r="B205" s="21" t="s">
        <v>360</v>
      </c>
      <c r="C205" s="126" t="s">
        <v>438</v>
      </c>
      <c r="D205" s="129"/>
      <c r="E205" s="27"/>
      <c r="F205" s="126" t="s">
        <v>518</v>
      </c>
      <c r="G205" s="126"/>
      <c r="H205" s="1" t="s">
        <v>14</v>
      </c>
      <c r="I205" s="108" t="s">
        <v>7</v>
      </c>
      <c r="J205" s="108" t="s">
        <v>8</v>
      </c>
      <c r="K205" s="108" t="s">
        <v>7</v>
      </c>
      <c r="L205" s="97" t="s">
        <v>1054</v>
      </c>
      <c r="M205" s="55">
        <v>2013</v>
      </c>
      <c r="N205" s="55">
        <v>2015</v>
      </c>
      <c r="O205" s="142"/>
      <c r="P205" s="127"/>
      <c r="Q205" s="254"/>
      <c r="R205" s="141"/>
      <c r="S205" s="141"/>
      <c r="T205" s="141"/>
      <c r="U205" s="142"/>
      <c r="V205" s="142"/>
      <c r="W205" s="1" t="s">
        <v>1329</v>
      </c>
      <c r="X205" s="108"/>
      <c r="Y205" s="108"/>
      <c r="Z205" s="296" t="s">
        <v>1087</v>
      </c>
      <c r="AA205" s="165" t="s">
        <v>1266</v>
      </c>
      <c r="AB205" s="165" t="s">
        <v>1209</v>
      </c>
      <c r="AC205" s="117"/>
      <c r="AD20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0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0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0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05"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05"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05" s="10">
        <f t="shared" si="19"/>
        <v>0</v>
      </c>
      <c r="AK205" s="10">
        <f t="shared" si="18"/>
        <v>0</v>
      </c>
      <c r="AL205" s="10">
        <f t="shared" si="20"/>
        <v>0</v>
      </c>
      <c r="AM205" s="6"/>
    </row>
    <row r="206" spans="1:39" ht="31.5" customHeight="1">
      <c r="A206" s="21" t="s">
        <v>231</v>
      </c>
      <c r="B206" s="21" t="s">
        <v>360</v>
      </c>
      <c r="C206" s="126" t="s">
        <v>438</v>
      </c>
      <c r="D206" s="129"/>
      <c r="E206" s="27"/>
      <c r="F206" s="126" t="s">
        <v>501</v>
      </c>
      <c r="G206" s="126"/>
      <c r="H206" s="1" t="s">
        <v>17</v>
      </c>
      <c r="I206" s="108" t="s">
        <v>7</v>
      </c>
      <c r="J206" s="108" t="s">
        <v>8</v>
      </c>
      <c r="K206" s="108" t="s">
        <v>7</v>
      </c>
      <c r="L206" s="97" t="s">
        <v>449</v>
      </c>
      <c r="M206" s="55">
        <v>2015</v>
      </c>
      <c r="N206" s="55">
        <v>2017</v>
      </c>
      <c r="O206" s="142"/>
      <c r="P206" s="127"/>
      <c r="Q206" s="254"/>
      <c r="R206" s="141"/>
      <c r="S206" s="141"/>
      <c r="T206" s="141"/>
      <c r="U206" s="142"/>
      <c r="V206" s="142"/>
      <c r="W206" s="1" t="s">
        <v>1329</v>
      </c>
      <c r="X206" s="108"/>
      <c r="Y206" s="108"/>
      <c r="Z206" s="296" t="s">
        <v>1087</v>
      </c>
      <c r="AA206" s="165" t="s">
        <v>1266</v>
      </c>
      <c r="AB206" s="165" t="s">
        <v>1209</v>
      </c>
      <c r="AC206" s="117"/>
      <c r="AD20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0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0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0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06"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06"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06" s="10">
        <f t="shared" si="19"/>
        <v>0</v>
      </c>
      <c r="AK206" s="10">
        <f t="shared" si="18"/>
        <v>0</v>
      </c>
      <c r="AL206" s="10">
        <f t="shared" si="20"/>
        <v>0</v>
      </c>
      <c r="AM206" s="6"/>
    </row>
    <row r="207" spans="1:39" ht="31.5" customHeight="1">
      <c r="A207" s="21" t="s">
        <v>231</v>
      </c>
      <c r="B207" s="21" t="s">
        <v>360</v>
      </c>
      <c r="C207" s="126" t="s">
        <v>438</v>
      </c>
      <c r="D207" s="129"/>
      <c r="E207" s="27"/>
      <c r="F207" s="126" t="s">
        <v>544</v>
      </c>
      <c r="G207" s="126"/>
      <c r="H207" s="1" t="s">
        <v>17</v>
      </c>
      <c r="I207" s="108" t="s">
        <v>7</v>
      </c>
      <c r="J207" s="108" t="s">
        <v>8</v>
      </c>
      <c r="K207" s="108" t="s">
        <v>7</v>
      </c>
      <c r="L207" s="97" t="s">
        <v>1032</v>
      </c>
      <c r="M207" s="55">
        <v>2017</v>
      </c>
      <c r="N207" s="55">
        <v>2019</v>
      </c>
      <c r="O207" s="142"/>
      <c r="P207" s="127"/>
      <c r="Q207" s="254"/>
      <c r="R207" s="141"/>
      <c r="S207" s="141"/>
      <c r="T207" s="141"/>
      <c r="U207" s="142"/>
      <c r="V207" s="142"/>
      <c r="W207" s="1" t="s">
        <v>1329</v>
      </c>
      <c r="X207" s="108"/>
      <c r="Y207" s="108"/>
      <c r="Z207" s="296" t="s">
        <v>1087</v>
      </c>
      <c r="AA207" s="165" t="s">
        <v>1266</v>
      </c>
      <c r="AB207" s="165" t="s">
        <v>1209</v>
      </c>
      <c r="AC207" s="117"/>
      <c r="AD20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0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0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0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07"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07"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07" s="10">
        <f t="shared" si="19"/>
        <v>0</v>
      </c>
      <c r="AK207" s="10">
        <f t="shared" si="18"/>
        <v>0</v>
      </c>
      <c r="AL207" s="10">
        <f t="shared" si="20"/>
        <v>0</v>
      </c>
      <c r="AM207" s="6"/>
    </row>
    <row r="208" spans="1:39" ht="31.5" customHeight="1">
      <c r="A208" s="21" t="s">
        <v>231</v>
      </c>
      <c r="B208" s="21" t="s">
        <v>360</v>
      </c>
      <c r="C208" s="126" t="s">
        <v>438</v>
      </c>
      <c r="D208" s="129"/>
      <c r="E208" s="27"/>
      <c r="F208" s="126" t="s">
        <v>509</v>
      </c>
      <c r="G208" s="126"/>
      <c r="H208" s="1" t="s">
        <v>17</v>
      </c>
      <c r="I208" s="108" t="s">
        <v>7</v>
      </c>
      <c r="J208" s="108" t="s">
        <v>8</v>
      </c>
      <c r="K208" s="108" t="s">
        <v>7</v>
      </c>
      <c r="L208" s="97" t="s">
        <v>449</v>
      </c>
      <c r="M208" s="55">
        <v>2015</v>
      </c>
      <c r="N208" s="55">
        <v>2017</v>
      </c>
      <c r="O208" s="142"/>
      <c r="P208" s="127"/>
      <c r="Q208" s="254"/>
      <c r="R208" s="141"/>
      <c r="S208" s="141"/>
      <c r="T208" s="141"/>
      <c r="U208" s="142"/>
      <c r="V208" s="142"/>
      <c r="W208" s="1" t="s">
        <v>1329</v>
      </c>
      <c r="X208" s="108"/>
      <c r="Y208" s="108"/>
      <c r="Z208" s="296" t="s">
        <v>1087</v>
      </c>
      <c r="AA208" s="165" t="s">
        <v>1266</v>
      </c>
      <c r="AB208" s="165" t="s">
        <v>1209</v>
      </c>
      <c r="AC208" s="117"/>
      <c r="AD20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0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0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0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08"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08"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08" s="10">
        <f t="shared" si="19"/>
        <v>0</v>
      </c>
      <c r="AK208" s="10">
        <f t="shared" si="18"/>
        <v>0</v>
      </c>
      <c r="AL208" s="10">
        <f t="shared" si="20"/>
        <v>0</v>
      </c>
      <c r="AM208" s="6"/>
    </row>
    <row r="209" spans="1:39" ht="31.5" customHeight="1">
      <c r="A209" s="21" t="s">
        <v>231</v>
      </c>
      <c r="B209" s="21" t="s">
        <v>360</v>
      </c>
      <c r="C209" s="126" t="s">
        <v>438</v>
      </c>
      <c r="D209" s="129"/>
      <c r="E209" s="27"/>
      <c r="F209" s="126" t="s">
        <v>526</v>
      </c>
      <c r="G209" s="126"/>
      <c r="H209" s="1" t="s">
        <v>17</v>
      </c>
      <c r="I209" s="108" t="s">
        <v>7</v>
      </c>
      <c r="J209" s="108" t="s">
        <v>8</v>
      </c>
      <c r="K209" s="108" t="s">
        <v>7</v>
      </c>
      <c r="L209" s="97" t="s">
        <v>1032</v>
      </c>
      <c r="M209" s="55">
        <v>2018</v>
      </c>
      <c r="N209" s="55">
        <v>2020</v>
      </c>
      <c r="O209" s="142"/>
      <c r="P209" s="127"/>
      <c r="Q209" s="254"/>
      <c r="R209" s="141"/>
      <c r="S209" s="141"/>
      <c r="T209" s="141"/>
      <c r="U209" s="142"/>
      <c r="V209" s="142"/>
      <c r="W209" s="1" t="s">
        <v>1329</v>
      </c>
      <c r="X209" s="108"/>
      <c r="Y209" s="108"/>
      <c r="Z209" s="296" t="s">
        <v>1087</v>
      </c>
      <c r="AA209" s="165" t="s">
        <v>1266</v>
      </c>
      <c r="AB209" s="165" t="s">
        <v>1209</v>
      </c>
      <c r="AC209" s="117"/>
      <c r="AD20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0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0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0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09"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09"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09" s="10">
        <f t="shared" si="19"/>
        <v>0</v>
      </c>
      <c r="AK209" s="10">
        <f t="shared" si="18"/>
        <v>0</v>
      </c>
      <c r="AL209" s="10">
        <f t="shared" si="20"/>
        <v>0</v>
      </c>
      <c r="AM209" s="6"/>
    </row>
    <row r="210" spans="1:39" ht="31.5" customHeight="1">
      <c r="A210" s="21" t="s">
        <v>231</v>
      </c>
      <c r="B210" s="21" t="s">
        <v>360</v>
      </c>
      <c r="C210" s="126" t="s">
        <v>438</v>
      </c>
      <c r="D210" s="129"/>
      <c r="E210" s="27"/>
      <c r="F210" s="126" t="s">
        <v>551</v>
      </c>
      <c r="G210" s="126"/>
      <c r="H210" s="1" t="s">
        <v>23</v>
      </c>
      <c r="I210" s="108" t="s">
        <v>7</v>
      </c>
      <c r="J210" s="108" t="s">
        <v>8</v>
      </c>
      <c r="K210" s="108" t="s">
        <v>7</v>
      </c>
      <c r="L210" s="97" t="s">
        <v>1032</v>
      </c>
      <c r="M210" s="55">
        <v>2017</v>
      </c>
      <c r="N210" s="55">
        <v>2019</v>
      </c>
      <c r="O210" s="142"/>
      <c r="P210" s="127"/>
      <c r="Q210" s="254"/>
      <c r="R210" s="141"/>
      <c r="S210" s="141"/>
      <c r="T210" s="141"/>
      <c r="U210" s="142"/>
      <c r="V210" s="142"/>
      <c r="W210" s="1" t="s">
        <v>1329</v>
      </c>
      <c r="X210" s="108"/>
      <c r="Y210" s="108"/>
      <c r="Z210" s="296" t="s">
        <v>1087</v>
      </c>
      <c r="AA210" s="165" t="s">
        <v>1266</v>
      </c>
      <c r="AB210" s="165" t="s">
        <v>1209</v>
      </c>
      <c r="AC210" s="117"/>
      <c r="AD21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1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1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1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10"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10"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10" s="10">
        <f t="shared" si="19"/>
        <v>0</v>
      </c>
      <c r="AK210" s="10">
        <f t="shared" si="18"/>
        <v>0</v>
      </c>
      <c r="AL210" s="10">
        <f t="shared" si="20"/>
        <v>0</v>
      </c>
      <c r="AM210" s="6"/>
    </row>
    <row r="211" spans="1:39" ht="31.5" customHeight="1">
      <c r="A211" s="21" t="s">
        <v>231</v>
      </c>
      <c r="B211" s="21" t="s">
        <v>360</v>
      </c>
      <c r="C211" s="126" t="s">
        <v>438</v>
      </c>
      <c r="D211" s="129"/>
      <c r="E211" s="27"/>
      <c r="F211" s="126" t="s">
        <v>533</v>
      </c>
      <c r="G211" s="126"/>
      <c r="H211" s="1" t="s">
        <v>23</v>
      </c>
      <c r="I211" s="108" t="s">
        <v>7</v>
      </c>
      <c r="J211" s="108" t="s">
        <v>8</v>
      </c>
      <c r="K211" s="108" t="s">
        <v>7</v>
      </c>
      <c r="L211" s="97" t="s">
        <v>1032</v>
      </c>
      <c r="M211" s="55">
        <v>2017</v>
      </c>
      <c r="N211" s="55">
        <v>2019</v>
      </c>
      <c r="O211" s="142"/>
      <c r="P211" s="127"/>
      <c r="Q211" s="254"/>
      <c r="R211" s="141"/>
      <c r="S211" s="141"/>
      <c r="T211" s="141"/>
      <c r="U211" s="142"/>
      <c r="V211" s="142"/>
      <c r="W211" s="1" t="s">
        <v>1329</v>
      </c>
      <c r="X211" s="108"/>
      <c r="Y211" s="108"/>
      <c r="Z211" s="296" t="s">
        <v>1087</v>
      </c>
      <c r="AA211" s="165" t="s">
        <v>1266</v>
      </c>
      <c r="AB211" s="165" t="s">
        <v>1209</v>
      </c>
      <c r="AC211" s="117"/>
      <c r="AD21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1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1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1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11"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11"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11" s="10">
        <f t="shared" si="19"/>
        <v>0</v>
      </c>
      <c r="AK211" s="10">
        <f t="shared" ref="AK211:AK268" si="21">+SUM(AH211:AI211)</f>
        <v>0</v>
      </c>
      <c r="AL211" s="10">
        <f t="shared" si="20"/>
        <v>0</v>
      </c>
      <c r="AM211" s="6"/>
    </row>
    <row r="212" spans="1:39" ht="31.5" customHeight="1">
      <c r="A212" s="21" t="s">
        <v>231</v>
      </c>
      <c r="B212" s="21" t="s">
        <v>360</v>
      </c>
      <c r="C212" s="126" t="s">
        <v>438</v>
      </c>
      <c r="D212" s="129"/>
      <c r="E212" s="27"/>
      <c r="F212" s="126" t="s">
        <v>515</v>
      </c>
      <c r="G212" s="126"/>
      <c r="H212" s="1" t="s">
        <v>23</v>
      </c>
      <c r="I212" s="108" t="s">
        <v>7</v>
      </c>
      <c r="J212" s="108" t="s">
        <v>8</v>
      </c>
      <c r="K212" s="108" t="s">
        <v>7</v>
      </c>
      <c r="L212" s="97" t="s">
        <v>1032</v>
      </c>
      <c r="M212" s="55">
        <v>2017</v>
      </c>
      <c r="N212" s="55">
        <v>2019</v>
      </c>
      <c r="O212" s="142"/>
      <c r="P212" s="127"/>
      <c r="Q212" s="254"/>
      <c r="R212" s="141"/>
      <c r="S212" s="141"/>
      <c r="T212" s="141"/>
      <c r="U212" s="142"/>
      <c r="V212" s="142"/>
      <c r="W212" s="1" t="s">
        <v>1329</v>
      </c>
      <c r="X212" s="108"/>
      <c r="Y212" s="108"/>
      <c r="Z212" s="296" t="s">
        <v>1087</v>
      </c>
      <c r="AA212" s="165" t="s">
        <v>1266</v>
      </c>
      <c r="AB212" s="165" t="s">
        <v>1209</v>
      </c>
      <c r="AC212" s="117"/>
      <c r="AD21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1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1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1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12"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12"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12" s="10">
        <f t="shared" si="19"/>
        <v>0</v>
      </c>
      <c r="AK212" s="10">
        <f t="shared" si="21"/>
        <v>0</v>
      </c>
      <c r="AL212" s="10">
        <f t="shared" si="20"/>
        <v>0</v>
      </c>
      <c r="AM212" s="6"/>
    </row>
    <row r="213" spans="1:39" ht="31.5" customHeight="1">
      <c r="A213" s="21" t="s">
        <v>231</v>
      </c>
      <c r="B213" s="21" t="s">
        <v>360</v>
      </c>
      <c r="C213" s="126" t="s">
        <v>438</v>
      </c>
      <c r="D213" s="129"/>
      <c r="E213" s="27"/>
      <c r="F213" s="126" t="s">
        <v>553</v>
      </c>
      <c r="G213" s="126"/>
      <c r="H213" s="1" t="s">
        <v>17</v>
      </c>
      <c r="I213" s="108" t="s">
        <v>7</v>
      </c>
      <c r="J213" s="108" t="s">
        <v>8</v>
      </c>
      <c r="K213" s="108" t="s">
        <v>7</v>
      </c>
      <c r="L213" s="97" t="s">
        <v>1054</v>
      </c>
      <c r="M213" s="55">
        <v>2011</v>
      </c>
      <c r="N213" s="55">
        <v>2013</v>
      </c>
      <c r="O213" s="142"/>
      <c r="P213" s="127"/>
      <c r="Q213" s="254"/>
      <c r="R213" s="141"/>
      <c r="S213" s="141"/>
      <c r="T213" s="141"/>
      <c r="U213" s="142"/>
      <c r="V213" s="142"/>
      <c r="W213" s="1" t="s">
        <v>1329</v>
      </c>
      <c r="X213" s="108"/>
      <c r="Y213" s="108"/>
      <c r="Z213" s="296" t="s">
        <v>1087</v>
      </c>
      <c r="AA213" s="165" t="s">
        <v>1266</v>
      </c>
      <c r="AB213" s="165" t="s">
        <v>1209</v>
      </c>
      <c r="AC213" s="117"/>
      <c r="AD21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1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1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1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13"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13"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13" s="10">
        <f t="shared" si="19"/>
        <v>0</v>
      </c>
      <c r="AK213" s="10">
        <f t="shared" si="21"/>
        <v>0</v>
      </c>
      <c r="AL213" s="10">
        <f t="shared" si="20"/>
        <v>0</v>
      </c>
      <c r="AM213" s="6"/>
    </row>
    <row r="214" spans="1:39" ht="31.5" customHeight="1">
      <c r="A214" s="21" t="s">
        <v>231</v>
      </c>
      <c r="B214" s="21" t="s">
        <v>360</v>
      </c>
      <c r="C214" s="126" t="s">
        <v>438</v>
      </c>
      <c r="D214" s="129"/>
      <c r="E214" s="27"/>
      <c r="F214" s="126" t="s">
        <v>527</v>
      </c>
      <c r="G214" s="126"/>
      <c r="H214" s="1" t="s">
        <v>17</v>
      </c>
      <c r="I214" s="108" t="s">
        <v>7</v>
      </c>
      <c r="J214" s="108" t="s">
        <v>8</v>
      </c>
      <c r="K214" s="108" t="s">
        <v>7</v>
      </c>
      <c r="L214" s="97" t="s">
        <v>1032</v>
      </c>
      <c r="M214" s="55">
        <v>2017</v>
      </c>
      <c r="N214" s="55">
        <v>2019</v>
      </c>
      <c r="O214" s="142"/>
      <c r="P214" s="127"/>
      <c r="Q214" s="254"/>
      <c r="R214" s="141"/>
      <c r="S214" s="141"/>
      <c r="T214" s="141"/>
      <c r="U214" s="142"/>
      <c r="V214" s="142"/>
      <c r="W214" s="1" t="s">
        <v>1329</v>
      </c>
      <c r="X214" s="108"/>
      <c r="Y214" s="108"/>
      <c r="Z214" s="296" t="s">
        <v>1087</v>
      </c>
      <c r="AA214" s="165" t="s">
        <v>1266</v>
      </c>
      <c r="AB214" s="165" t="s">
        <v>1209</v>
      </c>
      <c r="AC214" s="117"/>
      <c r="AD21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1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1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1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14"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14"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14" s="10">
        <f t="shared" si="19"/>
        <v>0</v>
      </c>
      <c r="AK214" s="10">
        <f t="shared" si="21"/>
        <v>0</v>
      </c>
      <c r="AL214" s="10">
        <f t="shared" si="20"/>
        <v>0</v>
      </c>
      <c r="AM214" s="6"/>
    </row>
    <row r="215" spans="1:39" ht="31.5" customHeight="1">
      <c r="A215" s="21" t="s">
        <v>231</v>
      </c>
      <c r="B215" s="21" t="s">
        <v>360</v>
      </c>
      <c r="C215" s="126" t="s">
        <v>438</v>
      </c>
      <c r="D215" s="129"/>
      <c r="E215" s="27"/>
      <c r="F215" s="126" t="s">
        <v>523</v>
      </c>
      <c r="G215" s="126"/>
      <c r="H215" s="1" t="s">
        <v>17</v>
      </c>
      <c r="I215" s="108" t="s">
        <v>7</v>
      </c>
      <c r="J215" s="108" t="s">
        <v>8</v>
      </c>
      <c r="K215" s="108" t="s">
        <v>7</v>
      </c>
      <c r="L215" s="97" t="s">
        <v>1054</v>
      </c>
      <c r="M215" s="55">
        <v>2011</v>
      </c>
      <c r="N215" s="100">
        <v>2013</v>
      </c>
      <c r="O215" s="142"/>
      <c r="P215" s="127"/>
      <c r="Q215" s="254"/>
      <c r="R215" s="141"/>
      <c r="S215" s="141"/>
      <c r="T215" s="141"/>
      <c r="U215" s="142"/>
      <c r="V215" s="142"/>
      <c r="W215" s="1" t="s">
        <v>1329</v>
      </c>
      <c r="X215" s="108"/>
      <c r="Y215" s="108"/>
      <c r="Z215" s="296" t="s">
        <v>1087</v>
      </c>
      <c r="AA215" s="165" t="s">
        <v>1266</v>
      </c>
      <c r="AB215" s="165" t="s">
        <v>1209</v>
      </c>
      <c r="AC215" s="117"/>
      <c r="AD21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1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1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1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15"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15"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15" s="10">
        <f t="shared" si="19"/>
        <v>0</v>
      </c>
      <c r="AK215" s="10">
        <f t="shared" si="21"/>
        <v>0</v>
      </c>
      <c r="AL215" s="10">
        <f t="shared" si="20"/>
        <v>0</v>
      </c>
      <c r="AM215" s="6"/>
    </row>
    <row r="216" spans="1:39" ht="31.5" customHeight="1">
      <c r="A216" s="21" t="s">
        <v>231</v>
      </c>
      <c r="B216" s="21" t="s">
        <v>360</v>
      </c>
      <c r="C216" s="126" t="s">
        <v>438</v>
      </c>
      <c r="D216" s="129"/>
      <c r="E216" s="27"/>
      <c r="F216" s="126" t="s">
        <v>537</v>
      </c>
      <c r="G216" s="126"/>
      <c r="H216" s="1" t="s">
        <v>17</v>
      </c>
      <c r="I216" s="108" t="s">
        <v>7</v>
      </c>
      <c r="J216" s="108" t="s">
        <v>8</v>
      </c>
      <c r="K216" s="108" t="s">
        <v>7</v>
      </c>
      <c r="L216" s="97" t="s">
        <v>1032</v>
      </c>
      <c r="M216" s="55">
        <v>2017</v>
      </c>
      <c r="N216" s="55">
        <v>2019</v>
      </c>
      <c r="O216" s="142"/>
      <c r="P216" s="127"/>
      <c r="Q216" s="254"/>
      <c r="R216" s="141"/>
      <c r="S216" s="141"/>
      <c r="T216" s="141"/>
      <c r="U216" s="142"/>
      <c r="V216" s="142"/>
      <c r="W216" s="1" t="s">
        <v>1329</v>
      </c>
      <c r="X216" s="108"/>
      <c r="Y216" s="108"/>
      <c r="Z216" s="296" t="s">
        <v>1087</v>
      </c>
      <c r="AA216" s="165" t="s">
        <v>1266</v>
      </c>
      <c r="AB216" s="165" t="s">
        <v>1209</v>
      </c>
      <c r="AC216" s="117"/>
      <c r="AD21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1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1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1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16"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16"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16" s="10">
        <f t="shared" si="19"/>
        <v>0</v>
      </c>
      <c r="AK216" s="10">
        <f t="shared" si="21"/>
        <v>0</v>
      </c>
      <c r="AL216" s="10">
        <f t="shared" si="20"/>
        <v>0</v>
      </c>
      <c r="AM216" s="6"/>
    </row>
    <row r="217" spans="1:39" ht="31.5" customHeight="1">
      <c r="A217" s="21" t="s">
        <v>231</v>
      </c>
      <c r="B217" s="21" t="s">
        <v>360</v>
      </c>
      <c r="C217" s="126" t="s">
        <v>438</v>
      </c>
      <c r="D217" s="129"/>
      <c r="E217" s="27"/>
      <c r="F217" s="126" t="s">
        <v>543</v>
      </c>
      <c r="G217" s="126"/>
      <c r="H217" s="1" t="s">
        <v>17</v>
      </c>
      <c r="I217" s="108" t="s">
        <v>7</v>
      </c>
      <c r="J217" s="108" t="s">
        <v>8</v>
      </c>
      <c r="K217" s="108" t="s">
        <v>7</v>
      </c>
      <c r="L217" s="97" t="s">
        <v>1032</v>
      </c>
      <c r="M217" s="55">
        <v>2017</v>
      </c>
      <c r="N217" s="55">
        <v>2019</v>
      </c>
      <c r="O217" s="142"/>
      <c r="P217" s="127"/>
      <c r="Q217" s="254"/>
      <c r="R217" s="141"/>
      <c r="S217" s="141"/>
      <c r="T217" s="141"/>
      <c r="U217" s="142"/>
      <c r="V217" s="142"/>
      <c r="W217" s="1" t="s">
        <v>1329</v>
      </c>
      <c r="X217" s="108"/>
      <c r="Y217" s="108"/>
      <c r="Z217" s="296" t="s">
        <v>1087</v>
      </c>
      <c r="AA217" s="165" t="s">
        <v>1266</v>
      </c>
      <c r="AB217" s="165" t="s">
        <v>1209</v>
      </c>
      <c r="AC217" s="117"/>
      <c r="AD21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1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1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1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17"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17"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17" s="10">
        <f t="shared" si="19"/>
        <v>0</v>
      </c>
      <c r="AK217" s="10">
        <f t="shared" si="21"/>
        <v>0</v>
      </c>
      <c r="AL217" s="10">
        <f t="shared" si="20"/>
        <v>0</v>
      </c>
      <c r="AM217" s="6"/>
    </row>
    <row r="218" spans="1:39" ht="31.5" customHeight="1">
      <c r="A218" s="21" t="s">
        <v>231</v>
      </c>
      <c r="B218" s="21" t="s">
        <v>360</v>
      </c>
      <c r="C218" s="126" t="s">
        <v>438</v>
      </c>
      <c r="D218" s="129"/>
      <c r="E218" s="27"/>
      <c r="F218" s="126" t="s">
        <v>546</v>
      </c>
      <c r="G218" s="126"/>
      <c r="H218" s="1" t="s">
        <v>17</v>
      </c>
      <c r="I218" s="108" t="s">
        <v>7</v>
      </c>
      <c r="J218" s="108" t="s">
        <v>8</v>
      </c>
      <c r="K218" s="108" t="s">
        <v>7</v>
      </c>
      <c r="L218" s="97" t="s">
        <v>1032</v>
      </c>
      <c r="M218" s="55">
        <v>2017</v>
      </c>
      <c r="N218" s="55">
        <v>2019</v>
      </c>
      <c r="O218" s="142"/>
      <c r="P218" s="127"/>
      <c r="Q218" s="254"/>
      <c r="R218" s="141"/>
      <c r="S218" s="141"/>
      <c r="T218" s="141"/>
      <c r="U218" s="142"/>
      <c r="V218" s="142"/>
      <c r="W218" s="1" t="s">
        <v>1329</v>
      </c>
      <c r="X218" s="108"/>
      <c r="Y218" s="108"/>
      <c r="Z218" s="296" t="s">
        <v>1087</v>
      </c>
      <c r="AA218" s="165" t="s">
        <v>1266</v>
      </c>
      <c r="AB218" s="165" t="s">
        <v>1209</v>
      </c>
      <c r="AC218" s="117"/>
      <c r="AD21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1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1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1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18"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18"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18" s="10">
        <f t="shared" si="19"/>
        <v>0</v>
      </c>
      <c r="AK218" s="10">
        <f t="shared" si="21"/>
        <v>0</v>
      </c>
      <c r="AL218" s="10">
        <f t="shared" si="20"/>
        <v>0</v>
      </c>
      <c r="AM218" s="6"/>
    </row>
    <row r="219" spans="1:39" ht="31.5" customHeight="1">
      <c r="A219" s="21" t="s">
        <v>231</v>
      </c>
      <c r="B219" s="21" t="s">
        <v>360</v>
      </c>
      <c r="C219" s="126" t="s">
        <v>438</v>
      </c>
      <c r="D219" s="129"/>
      <c r="E219" s="27"/>
      <c r="F219" s="126" t="s">
        <v>545</v>
      </c>
      <c r="G219" s="126"/>
      <c r="H219" s="1" t="s">
        <v>17</v>
      </c>
      <c r="I219" s="108" t="s">
        <v>7</v>
      </c>
      <c r="J219" s="108" t="s">
        <v>8</v>
      </c>
      <c r="K219" s="108" t="s">
        <v>7</v>
      </c>
      <c r="L219" s="97" t="s">
        <v>1032</v>
      </c>
      <c r="M219" s="55">
        <v>2014</v>
      </c>
      <c r="N219" s="55">
        <v>2016</v>
      </c>
      <c r="O219" s="142"/>
      <c r="P219" s="127"/>
      <c r="Q219" s="254"/>
      <c r="R219" s="141"/>
      <c r="S219" s="141"/>
      <c r="T219" s="141"/>
      <c r="U219" s="142"/>
      <c r="V219" s="142"/>
      <c r="W219" s="1" t="s">
        <v>1329</v>
      </c>
      <c r="X219" s="108"/>
      <c r="Y219" s="108"/>
      <c r="Z219" s="296" t="s">
        <v>1087</v>
      </c>
      <c r="AA219" s="165" t="s">
        <v>1266</v>
      </c>
      <c r="AB219" s="165" t="s">
        <v>1209</v>
      </c>
      <c r="AC219" s="117"/>
      <c r="AD21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1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1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1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19"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19"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19" s="10">
        <f t="shared" si="19"/>
        <v>0</v>
      </c>
      <c r="AK219" s="10">
        <f t="shared" si="21"/>
        <v>0</v>
      </c>
      <c r="AL219" s="10">
        <f t="shared" si="20"/>
        <v>0</v>
      </c>
      <c r="AM219" s="6"/>
    </row>
    <row r="220" spans="1:39" ht="31.5" customHeight="1">
      <c r="A220" s="21" t="s">
        <v>231</v>
      </c>
      <c r="B220" s="21" t="s">
        <v>360</v>
      </c>
      <c r="C220" s="126" t="s">
        <v>438</v>
      </c>
      <c r="D220" s="129"/>
      <c r="E220" s="27"/>
      <c r="F220" s="126" t="s">
        <v>502</v>
      </c>
      <c r="G220" s="126"/>
      <c r="H220" s="1" t="s">
        <v>23</v>
      </c>
      <c r="I220" s="108" t="s">
        <v>7</v>
      </c>
      <c r="J220" s="108" t="s">
        <v>8</v>
      </c>
      <c r="K220" s="108" t="s">
        <v>7</v>
      </c>
      <c r="L220" s="97" t="s">
        <v>449</v>
      </c>
      <c r="M220" s="55">
        <v>2014</v>
      </c>
      <c r="N220" s="55">
        <v>2016</v>
      </c>
      <c r="O220" s="142"/>
      <c r="P220" s="127"/>
      <c r="Q220" s="254"/>
      <c r="R220" s="141"/>
      <c r="S220" s="141"/>
      <c r="T220" s="141"/>
      <c r="U220" s="142"/>
      <c r="V220" s="142"/>
      <c r="W220" s="1" t="s">
        <v>1329</v>
      </c>
      <c r="X220" s="108"/>
      <c r="Y220" s="108"/>
      <c r="Z220" s="296" t="s">
        <v>1087</v>
      </c>
      <c r="AA220" s="165" t="s">
        <v>1266</v>
      </c>
      <c r="AB220" s="165" t="s">
        <v>1209</v>
      </c>
      <c r="AC220" s="117"/>
      <c r="AD22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2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2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2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20"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20"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20" s="10">
        <f t="shared" si="19"/>
        <v>0</v>
      </c>
      <c r="AK220" s="10">
        <f t="shared" si="21"/>
        <v>0</v>
      </c>
      <c r="AL220" s="10">
        <f t="shared" si="20"/>
        <v>0</v>
      </c>
      <c r="AM220" s="6"/>
    </row>
    <row r="221" spans="1:39" ht="31.5" customHeight="1">
      <c r="A221" s="21" t="s">
        <v>231</v>
      </c>
      <c r="B221" s="21" t="s">
        <v>360</v>
      </c>
      <c r="C221" s="126" t="s">
        <v>438</v>
      </c>
      <c r="D221" s="129"/>
      <c r="E221" s="27"/>
      <c r="F221" s="126" t="s">
        <v>555</v>
      </c>
      <c r="G221" s="129"/>
      <c r="H221" s="1" t="s">
        <v>6</v>
      </c>
      <c r="I221" s="108" t="s">
        <v>7</v>
      </c>
      <c r="J221" s="108" t="s">
        <v>8</v>
      </c>
      <c r="K221" s="108" t="s">
        <v>7</v>
      </c>
      <c r="L221" s="97" t="s">
        <v>1032</v>
      </c>
      <c r="M221" s="55">
        <v>2017</v>
      </c>
      <c r="N221" s="100">
        <v>2019</v>
      </c>
      <c r="O221" s="142"/>
      <c r="P221" s="127"/>
      <c r="Q221" s="254"/>
      <c r="R221" s="141"/>
      <c r="S221" s="141"/>
      <c r="T221" s="141"/>
      <c r="U221" s="142"/>
      <c r="V221" s="142"/>
      <c r="W221" s="1" t="s">
        <v>1329</v>
      </c>
      <c r="X221" s="108"/>
      <c r="Y221" s="108"/>
      <c r="Z221" s="296" t="s">
        <v>1087</v>
      </c>
      <c r="AA221" s="165" t="s">
        <v>1266</v>
      </c>
      <c r="AB221" s="165" t="s">
        <v>1209</v>
      </c>
      <c r="AC221" s="117"/>
      <c r="AD22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2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2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2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21"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21"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21" s="10">
        <f t="shared" si="19"/>
        <v>0</v>
      </c>
      <c r="AK221" s="10">
        <f t="shared" si="21"/>
        <v>0</v>
      </c>
      <c r="AL221" s="10">
        <f t="shared" si="20"/>
        <v>0</v>
      </c>
      <c r="AM221" s="6"/>
    </row>
    <row r="222" spans="1:39" ht="31.5" customHeight="1">
      <c r="A222" s="21" t="s">
        <v>231</v>
      </c>
      <c r="B222" s="21" t="s">
        <v>360</v>
      </c>
      <c r="C222" s="126" t="s">
        <v>438</v>
      </c>
      <c r="D222" s="129"/>
      <c r="E222" s="27"/>
      <c r="F222" s="126" t="s">
        <v>557</v>
      </c>
      <c r="G222" s="129"/>
      <c r="H222" s="1" t="s">
        <v>6</v>
      </c>
      <c r="I222" s="108" t="s">
        <v>7</v>
      </c>
      <c r="J222" s="108" t="s">
        <v>8</v>
      </c>
      <c r="K222" s="108" t="s">
        <v>7</v>
      </c>
      <c r="L222" s="97" t="s">
        <v>1054</v>
      </c>
      <c r="M222" s="55">
        <v>2013</v>
      </c>
      <c r="N222" s="100">
        <v>2015</v>
      </c>
      <c r="O222" s="142"/>
      <c r="P222" s="127"/>
      <c r="Q222" s="254"/>
      <c r="R222" s="141"/>
      <c r="S222" s="141"/>
      <c r="T222" s="141"/>
      <c r="U222" s="142"/>
      <c r="V222" s="142"/>
      <c r="W222" s="1" t="s">
        <v>1329</v>
      </c>
      <c r="X222" s="108"/>
      <c r="Y222" s="108"/>
      <c r="Z222" s="296" t="s">
        <v>1087</v>
      </c>
      <c r="AA222" s="165" t="s">
        <v>1266</v>
      </c>
      <c r="AB222" s="165" t="s">
        <v>1209</v>
      </c>
      <c r="AC222" s="117"/>
      <c r="AD22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2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2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2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22"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22"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22" s="10">
        <f t="shared" si="19"/>
        <v>0</v>
      </c>
      <c r="AK222" s="10">
        <f t="shared" si="21"/>
        <v>0</v>
      </c>
      <c r="AL222" s="10">
        <f t="shared" si="20"/>
        <v>0</v>
      </c>
      <c r="AM222" s="6"/>
    </row>
    <row r="223" spans="1:39" ht="31.5" customHeight="1">
      <c r="A223" s="21" t="s">
        <v>231</v>
      </c>
      <c r="B223" s="21" t="s">
        <v>360</v>
      </c>
      <c r="C223" s="126" t="s">
        <v>438</v>
      </c>
      <c r="D223" s="129"/>
      <c r="E223" s="27"/>
      <c r="F223" s="126" t="s">
        <v>556</v>
      </c>
      <c r="G223" s="129"/>
      <c r="H223" s="1" t="s">
        <v>6</v>
      </c>
      <c r="I223" s="108" t="s">
        <v>7</v>
      </c>
      <c r="J223" s="108" t="s">
        <v>8</v>
      </c>
      <c r="K223" s="108" t="s">
        <v>7</v>
      </c>
      <c r="L223" s="97" t="s">
        <v>449</v>
      </c>
      <c r="M223" s="55">
        <v>2015</v>
      </c>
      <c r="N223" s="55">
        <v>2017</v>
      </c>
      <c r="O223" s="142"/>
      <c r="P223" s="127"/>
      <c r="Q223" s="254"/>
      <c r="R223" s="141"/>
      <c r="S223" s="141"/>
      <c r="T223" s="141"/>
      <c r="U223" s="142"/>
      <c r="V223" s="142"/>
      <c r="W223" s="1" t="s">
        <v>1329</v>
      </c>
      <c r="X223" s="108"/>
      <c r="Y223" s="108"/>
      <c r="Z223" s="296" t="s">
        <v>1087</v>
      </c>
      <c r="AA223" s="165" t="s">
        <v>1266</v>
      </c>
      <c r="AB223" s="165" t="s">
        <v>1209</v>
      </c>
      <c r="AC223" s="117"/>
      <c r="AD22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2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2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2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23"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23"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23" s="10">
        <f t="shared" si="19"/>
        <v>0</v>
      </c>
      <c r="AK223" s="10">
        <f t="shared" si="21"/>
        <v>0</v>
      </c>
      <c r="AL223" s="10">
        <f t="shared" si="20"/>
        <v>0</v>
      </c>
      <c r="AM223" s="6"/>
    </row>
    <row r="224" spans="1:39" ht="31.5" customHeight="1">
      <c r="A224" s="21" t="s">
        <v>231</v>
      </c>
      <c r="B224" s="21" t="s">
        <v>360</v>
      </c>
      <c r="C224" s="126" t="s">
        <v>438</v>
      </c>
      <c r="D224" s="129"/>
      <c r="E224" s="27"/>
      <c r="F224" s="126" t="s">
        <v>549</v>
      </c>
      <c r="G224" s="129"/>
      <c r="H224" s="1" t="s">
        <v>22</v>
      </c>
      <c r="I224" s="108" t="s">
        <v>7</v>
      </c>
      <c r="J224" s="108" t="s">
        <v>8</v>
      </c>
      <c r="K224" s="108" t="s">
        <v>7</v>
      </c>
      <c r="L224" s="97" t="s">
        <v>449</v>
      </c>
      <c r="M224" s="55">
        <v>2015</v>
      </c>
      <c r="N224" s="55">
        <v>2017</v>
      </c>
      <c r="O224" s="142"/>
      <c r="P224" s="127"/>
      <c r="Q224" s="254"/>
      <c r="R224" s="141"/>
      <c r="S224" s="141"/>
      <c r="T224" s="141"/>
      <c r="U224" s="142"/>
      <c r="V224" s="142"/>
      <c r="W224" s="1" t="s">
        <v>1329</v>
      </c>
      <c r="X224" s="108"/>
      <c r="Y224" s="108"/>
      <c r="Z224" s="296" t="s">
        <v>1087</v>
      </c>
      <c r="AA224" s="165" t="s">
        <v>1266</v>
      </c>
      <c r="AB224" s="165" t="s">
        <v>1209</v>
      </c>
      <c r="AC224" s="117"/>
      <c r="AD22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2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2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2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24"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24"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24" s="10">
        <f t="shared" si="19"/>
        <v>0</v>
      </c>
      <c r="AK224" s="10">
        <f t="shared" si="21"/>
        <v>0</v>
      </c>
      <c r="AL224" s="10">
        <f t="shared" si="20"/>
        <v>0</v>
      </c>
      <c r="AM224" s="6"/>
    </row>
    <row r="225" spans="1:39" ht="31.5" customHeight="1">
      <c r="A225" s="21" t="s">
        <v>231</v>
      </c>
      <c r="B225" s="21" t="s">
        <v>360</v>
      </c>
      <c r="C225" s="126" t="s">
        <v>438</v>
      </c>
      <c r="D225" s="129"/>
      <c r="E225" s="27"/>
      <c r="F225" s="126" t="s">
        <v>534</v>
      </c>
      <c r="G225" s="129"/>
      <c r="H225" s="1" t="s">
        <v>17</v>
      </c>
      <c r="I225" s="108" t="s">
        <v>7</v>
      </c>
      <c r="J225" s="108" t="s">
        <v>8</v>
      </c>
      <c r="K225" s="108" t="s">
        <v>7</v>
      </c>
      <c r="L225" s="97" t="s">
        <v>1032</v>
      </c>
      <c r="M225" s="55">
        <v>2014</v>
      </c>
      <c r="N225" s="55">
        <v>2016</v>
      </c>
      <c r="O225" s="142"/>
      <c r="P225" s="127"/>
      <c r="Q225" s="254"/>
      <c r="R225" s="141"/>
      <c r="S225" s="141"/>
      <c r="T225" s="141"/>
      <c r="U225" s="142"/>
      <c r="V225" s="142"/>
      <c r="W225" s="1" t="s">
        <v>1329</v>
      </c>
      <c r="X225" s="108"/>
      <c r="Y225" s="108"/>
      <c r="Z225" s="296" t="s">
        <v>1087</v>
      </c>
      <c r="AA225" s="165" t="s">
        <v>1266</v>
      </c>
      <c r="AB225" s="165" t="s">
        <v>1209</v>
      </c>
      <c r="AC225" s="117"/>
      <c r="AD22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2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2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2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25"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25"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25" s="10">
        <f t="shared" si="19"/>
        <v>0</v>
      </c>
      <c r="AK225" s="10">
        <f t="shared" si="21"/>
        <v>0</v>
      </c>
      <c r="AL225" s="10">
        <f t="shared" si="20"/>
        <v>0</v>
      </c>
      <c r="AM225" s="6"/>
    </row>
    <row r="226" spans="1:39" ht="31.5" customHeight="1">
      <c r="A226" s="21" t="s">
        <v>231</v>
      </c>
      <c r="B226" s="21" t="s">
        <v>360</v>
      </c>
      <c r="C226" s="126" t="s">
        <v>438</v>
      </c>
      <c r="D226" s="129"/>
      <c r="E226" s="27"/>
      <c r="F226" s="126" t="s">
        <v>541</v>
      </c>
      <c r="G226" s="126"/>
      <c r="H226" s="1" t="s">
        <v>17</v>
      </c>
      <c r="I226" s="108" t="s">
        <v>7</v>
      </c>
      <c r="J226" s="108" t="s">
        <v>8</v>
      </c>
      <c r="K226" s="108" t="s">
        <v>7</v>
      </c>
      <c r="L226" s="97" t="s">
        <v>1032</v>
      </c>
      <c r="M226" s="55">
        <v>2016</v>
      </c>
      <c r="N226" s="55">
        <v>2018</v>
      </c>
      <c r="O226" s="142"/>
      <c r="P226" s="127"/>
      <c r="Q226" s="254"/>
      <c r="R226" s="141"/>
      <c r="S226" s="141"/>
      <c r="T226" s="141"/>
      <c r="U226" s="142"/>
      <c r="V226" s="142"/>
      <c r="W226" s="1" t="s">
        <v>1329</v>
      </c>
      <c r="X226" s="108"/>
      <c r="Y226" s="108"/>
      <c r="Z226" s="296" t="s">
        <v>1087</v>
      </c>
      <c r="AA226" s="165" t="s">
        <v>1266</v>
      </c>
      <c r="AB226" s="165" t="s">
        <v>1209</v>
      </c>
      <c r="AC226" s="117"/>
      <c r="AD22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2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2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2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26"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26"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26" s="10">
        <f t="shared" si="19"/>
        <v>0</v>
      </c>
      <c r="AK226" s="10">
        <f t="shared" si="21"/>
        <v>0</v>
      </c>
      <c r="AL226" s="10">
        <f t="shared" si="20"/>
        <v>0</v>
      </c>
      <c r="AM226" s="6"/>
    </row>
    <row r="227" spans="1:39" ht="31.5" customHeight="1">
      <c r="A227" s="21" t="s">
        <v>231</v>
      </c>
      <c r="B227" s="21" t="s">
        <v>360</v>
      </c>
      <c r="C227" s="126" t="s">
        <v>438</v>
      </c>
      <c r="D227" s="129"/>
      <c r="E227" s="27"/>
      <c r="F227" s="126" t="s">
        <v>514</v>
      </c>
      <c r="G227" s="126"/>
      <c r="H227" s="1" t="s">
        <v>17</v>
      </c>
      <c r="I227" s="108" t="s">
        <v>7</v>
      </c>
      <c r="J227" s="108" t="s">
        <v>8</v>
      </c>
      <c r="K227" s="108" t="s">
        <v>7</v>
      </c>
      <c r="L227" s="97" t="s">
        <v>1032</v>
      </c>
      <c r="M227" s="55">
        <v>2017</v>
      </c>
      <c r="N227" s="55">
        <v>2019</v>
      </c>
      <c r="O227" s="142"/>
      <c r="P227" s="127"/>
      <c r="Q227" s="254"/>
      <c r="R227" s="141"/>
      <c r="S227" s="141"/>
      <c r="T227" s="141"/>
      <c r="U227" s="142"/>
      <c r="V227" s="142"/>
      <c r="W227" s="1" t="s">
        <v>1329</v>
      </c>
      <c r="X227" s="108"/>
      <c r="Y227" s="108"/>
      <c r="Z227" s="296" t="s">
        <v>1087</v>
      </c>
      <c r="AA227" s="165" t="s">
        <v>1266</v>
      </c>
      <c r="AB227" s="165" t="s">
        <v>1209</v>
      </c>
      <c r="AC227" s="117"/>
      <c r="AD22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2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2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2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27"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27"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27" s="10">
        <f t="shared" si="19"/>
        <v>0</v>
      </c>
      <c r="AK227" s="10">
        <f t="shared" si="21"/>
        <v>0</v>
      </c>
      <c r="AL227" s="10">
        <f t="shared" si="20"/>
        <v>0</v>
      </c>
      <c r="AM227" s="6"/>
    </row>
    <row r="228" spans="1:39" ht="31.5" customHeight="1">
      <c r="A228" s="21" t="s">
        <v>231</v>
      </c>
      <c r="B228" s="21" t="s">
        <v>360</v>
      </c>
      <c r="C228" s="126" t="s">
        <v>438</v>
      </c>
      <c r="D228" s="129"/>
      <c r="E228" s="27"/>
      <c r="F228" s="126" t="s">
        <v>510</v>
      </c>
      <c r="G228" s="126"/>
      <c r="H228" s="1" t="s">
        <v>17</v>
      </c>
      <c r="I228" s="108" t="s">
        <v>7</v>
      </c>
      <c r="J228" s="108" t="s">
        <v>8</v>
      </c>
      <c r="K228" s="108" t="s">
        <v>7</v>
      </c>
      <c r="L228" s="97" t="s">
        <v>449</v>
      </c>
      <c r="M228" s="55">
        <v>2014</v>
      </c>
      <c r="N228" s="55">
        <v>2016</v>
      </c>
      <c r="O228" s="142"/>
      <c r="P228" s="127"/>
      <c r="Q228" s="254"/>
      <c r="R228" s="141"/>
      <c r="S228" s="141"/>
      <c r="T228" s="141"/>
      <c r="U228" s="142"/>
      <c r="V228" s="142"/>
      <c r="W228" s="1" t="s">
        <v>1329</v>
      </c>
      <c r="X228" s="108"/>
      <c r="Y228" s="108"/>
      <c r="Z228" s="296" t="s">
        <v>1087</v>
      </c>
      <c r="AA228" s="165" t="s">
        <v>1266</v>
      </c>
      <c r="AB228" s="165" t="s">
        <v>1209</v>
      </c>
      <c r="AC228" s="117"/>
      <c r="AD22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2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2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2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28"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28"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28" s="10">
        <f t="shared" si="19"/>
        <v>0</v>
      </c>
      <c r="AK228" s="10">
        <f t="shared" si="21"/>
        <v>0</v>
      </c>
      <c r="AL228" s="10">
        <f t="shared" si="20"/>
        <v>0</v>
      </c>
      <c r="AM228" s="6"/>
    </row>
    <row r="229" spans="1:39" ht="31.5" customHeight="1">
      <c r="A229" s="21" t="s">
        <v>231</v>
      </c>
      <c r="B229" s="21" t="s">
        <v>360</v>
      </c>
      <c r="C229" s="126" t="s">
        <v>438</v>
      </c>
      <c r="D229" s="129"/>
      <c r="E229" s="27"/>
      <c r="F229" s="126" t="s">
        <v>520</v>
      </c>
      <c r="G229" s="126"/>
      <c r="H229" s="1" t="s">
        <v>17</v>
      </c>
      <c r="I229" s="108" t="s">
        <v>7</v>
      </c>
      <c r="J229" s="108" t="s">
        <v>8</v>
      </c>
      <c r="K229" s="108" t="s">
        <v>7</v>
      </c>
      <c r="L229" s="97" t="s">
        <v>1032</v>
      </c>
      <c r="M229" s="55">
        <v>2017</v>
      </c>
      <c r="N229" s="55">
        <v>2019</v>
      </c>
      <c r="O229" s="142"/>
      <c r="P229" s="127"/>
      <c r="Q229" s="254"/>
      <c r="R229" s="141"/>
      <c r="S229" s="141"/>
      <c r="T229" s="141"/>
      <c r="U229" s="142"/>
      <c r="V229" s="142"/>
      <c r="W229" s="1" t="s">
        <v>1329</v>
      </c>
      <c r="X229" s="108"/>
      <c r="Y229" s="108"/>
      <c r="Z229" s="296" t="s">
        <v>1087</v>
      </c>
      <c r="AA229" s="165" t="s">
        <v>1266</v>
      </c>
      <c r="AB229" s="165" t="s">
        <v>1209</v>
      </c>
      <c r="AC229" s="117"/>
      <c r="AD22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2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2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2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29"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29"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29" s="10">
        <f t="shared" si="19"/>
        <v>0</v>
      </c>
      <c r="AK229" s="10">
        <f t="shared" si="21"/>
        <v>0</v>
      </c>
      <c r="AL229" s="10">
        <f t="shared" si="20"/>
        <v>0</v>
      </c>
      <c r="AM229" s="6"/>
    </row>
    <row r="230" spans="1:39" ht="31.5" customHeight="1">
      <c r="A230" s="21" t="s">
        <v>231</v>
      </c>
      <c r="B230" s="21" t="s">
        <v>360</v>
      </c>
      <c r="C230" s="126" t="s">
        <v>438</v>
      </c>
      <c r="D230" s="129"/>
      <c r="E230" s="27"/>
      <c r="F230" s="126" t="s">
        <v>530</v>
      </c>
      <c r="G230" s="126"/>
      <c r="H230" s="1" t="s">
        <v>17</v>
      </c>
      <c r="I230" s="108" t="s">
        <v>7</v>
      </c>
      <c r="J230" s="108" t="s">
        <v>8</v>
      </c>
      <c r="K230" s="108" t="s">
        <v>7</v>
      </c>
      <c r="L230" s="97" t="s">
        <v>449</v>
      </c>
      <c r="M230" s="55">
        <v>2013</v>
      </c>
      <c r="N230" s="55">
        <v>2015</v>
      </c>
      <c r="O230" s="142"/>
      <c r="P230" s="127"/>
      <c r="Q230" s="254"/>
      <c r="R230" s="141"/>
      <c r="S230" s="141"/>
      <c r="T230" s="141"/>
      <c r="U230" s="142"/>
      <c r="V230" s="142"/>
      <c r="W230" s="1" t="s">
        <v>1329</v>
      </c>
      <c r="X230" s="108"/>
      <c r="Y230" s="108"/>
      <c r="Z230" s="296" t="s">
        <v>1087</v>
      </c>
      <c r="AA230" s="165" t="s">
        <v>1266</v>
      </c>
      <c r="AB230" s="165" t="s">
        <v>1209</v>
      </c>
      <c r="AC230" s="117"/>
      <c r="AD23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3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3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3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30"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30"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30" s="10">
        <f t="shared" si="19"/>
        <v>0</v>
      </c>
      <c r="AK230" s="10">
        <f t="shared" si="21"/>
        <v>0</v>
      </c>
      <c r="AL230" s="10">
        <f t="shared" si="20"/>
        <v>0</v>
      </c>
      <c r="AM230" s="6"/>
    </row>
    <row r="231" spans="1:39" ht="31.5" customHeight="1">
      <c r="A231" s="21" t="s">
        <v>231</v>
      </c>
      <c r="B231" s="21" t="s">
        <v>360</v>
      </c>
      <c r="C231" s="126" t="s">
        <v>438</v>
      </c>
      <c r="D231" s="129"/>
      <c r="E231" s="27"/>
      <c r="F231" s="126" t="s">
        <v>506</v>
      </c>
      <c r="G231" s="126"/>
      <c r="H231" s="1" t="s">
        <v>17</v>
      </c>
      <c r="I231" s="108" t="s">
        <v>7</v>
      </c>
      <c r="J231" s="108" t="s">
        <v>8</v>
      </c>
      <c r="K231" s="108" t="s">
        <v>7</v>
      </c>
      <c r="L231" s="97" t="s">
        <v>1032</v>
      </c>
      <c r="M231" s="55">
        <v>2014</v>
      </c>
      <c r="N231" s="55">
        <v>2015</v>
      </c>
      <c r="O231" s="142"/>
      <c r="P231" s="127"/>
      <c r="Q231" s="254"/>
      <c r="R231" s="141"/>
      <c r="S231" s="141"/>
      <c r="T231" s="141"/>
      <c r="U231" s="142"/>
      <c r="V231" s="142"/>
      <c r="W231" s="1" t="s">
        <v>1329</v>
      </c>
      <c r="X231" s="108"/>
      <c r="Y231" s="108"/>
      <c r="Z231" s="296" t="s">
        <v>1087</v>
      </c>
      <c r="AA231" s="165" t="s">
        <v>1266</v>
      </c>
      <c r="AB231" s="165" t="s">
        <v>1209</v>
      </c>
      <c r="AC231" s="117"/>
      <c r="AD23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3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3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3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31"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31"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31" s="10">
        <f t="shared" si="19"/>
        <v>0</v>
      </c>
      <c r="AK231" s="10">
        <f t="shared" si="21"/>
        <v>0</v>
      </c>
      <c r="AL231" s="10">
        <f t="shared" si="20"/>
        <v>0</v>
      </c>
      <c r="AM231" s="6"/>
    </row>
    <row r="232" spans="1:39" ht="31.5" customHeight="1">
      <c r="A232" s="21" t="s">
        <v>231</v>
      </c>
      <c r="B232" s="21" t="s">
        <v>360</v>
      </c>
      <c r="C232" s="126" t="s">
        <v>438</v>
      </c>
      <c r="D232" s="129"/>
      <c r="E232" s="27"/>
      <c r="F232" s="126" t="s">
        <v>503</v>
      </c>
      <c r="G232" s="126"/>
      <c r="H232" s="1" t="s">
        <v>17</v>
      </c>
      <c r="I232" s="108" t="s">
        <v>7</v>
      </c>
      <c r="J232" s="108" t="s">
        <v>8</v>
      </c>
      <c r="K232" s="108" t="s">
        <v>7</v>
      </c>
      <c r="L232" s="97" t="s">
        <v>449</v>
      </c>
      <c r="M232" s="55">
        <v>2016</v>
      </c>
      <c r="N232" s="55">
        <v>2018</v>
      </c>
      <c r="O232" s="142"/>
      <c r="P232" s="127"/>
      <c r="Q232" s="254"/>
      <c r="R232" s="141"/>
      <c r="S232" s="141"/>
      <c r="T232" s="141"/>
      <c r="U232" s="142"/>
      <c r="V232" s="142"/>
      <c r="W232" s="1" t="s">
        <v>1329</v>
      </c>
      <c r="X232" s="108"/>
      <c r="Y232" s="108"/>
      <c r="Z232" s="296" t="s">
        <v>1087</v>
      </c>
      <c r="AA232" s="165" t="s">
        <v>1266</v>
      </c>
      <c r="AB232" s="165" t="s">
        <v>1209</v>
      </c>
      <c r="AC232" s="117"/>
      <c r="AD23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3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3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3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32"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32"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32" s="10">
        <f t="shared" si="19"/>
        <v>0</v>
      </c>
      <c r="AK232" s="10">
        <f t="shared" si="21"/>
        <v>0</v>
      </c>
      <c r="AL232" s="10">
        <f t="shared" si="20"/>
        <v>0</v>
      </c>
      <c r="AM232" s="6"/>
    </row>
    <row r="233" spans="1:39" ht="31.5" customHeight="1">
      <c r="A233" s="21" t="s">
        <v>231</v>
      </c>
      <c r="B233" s="21" t="s">
        <v>360</v>
      </c>
      <c r="C233" s="126" t="s">
        <v>438</v>
      </c>
      <c r="D233" s="129"/>
      <c r="E233" s="27"/>
      <c r="F233" s="126" t="s">
        <v>500</v>
      </c>
      <c r="G233" s="126"/>
      <c r="H233" s="1" t="s">
        <v>17</v>
      </c>
      <c r="I233" s="108" t="s">
        <v>7</v>
      </c>
      <c r="J233" s="108" t="s">
        <v>8</v>
      </c>
      <c r="K233" s="108" t="s">
        <v>7</v>
      </c>
      <c r="L233" s="97" t="s">
        <v>449</v>
      </c>
      <c r="M233" s="55">
        <v>2016</v>
      </c>
      <c r="N233" s="55">
        <v>2018</v>
      </c>
      <c r="O233" s="142"/>
      <c r="P233" s="127"/>
      <c r="Q233" s="254"/>
      <c r="R233" s="141"/>
      <c r="S233" s="141"/>
      <c r="T233" s="141"/>
      <c r="U233" s="142"/>
      <c r="V233" s="142"/>
      <c r="W233" s="1" t="s">
        <v>1329</v>
      </c>
      <c r="X233" s="108"/>
      <c r="Y233" s="108"/>
      <c r="Z233" s="296" t="s">
        <v>1087</v>
      </c>
      <c r="AA233" s="165" t="s">
        <v>1266</v>
      </c>
      <c r="AB233" s="165" t="s">
        <v>1209</v>
      </c>
      <c r="AC233" s="117"/>
      <c r="AD23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3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3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3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33"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33"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33" s="10">
        <f t="shared" si="19"/>
        <v>0</v>
      </c>
      <c r="AK233" s="10">
        <f t="shared" si="21"/>
        <v>0</v>
      </c>
      <c r="AL233" s="10">
        <f t="shared" si="20"/>
        <v>0</v>
      </c>
      <c r="AM233" s="6"/>
    </row>
    <row r="234" spans="1:39" ht="31.5" customHeight="1">
      <c r="A234" s="21" t="s">
        <v>231</v>
      </c>
      <c r="B234" s="21" t="s">
        <v>360</v>
      </c>
      <c r="C234" s="126" t="s">
        <v>438</v>
      </c>
      <c r="D234" s="129"/>
      <c r="E234" s="27"/>
      <c r="F234" s="126" t="s">
        <v>513</v>
      </c>
      <c r="G234" s="126"/>
      <c r="H234" s="1" t="s">
        <v>17</v>
      </c>
      <c r="I234" s="108" t="s">
        <v>7</v>
      </c>
      <c r="J234" s="108" t="s">
        <v>8</v>
      </c>
      <c r="K234" s="108" t="s">
        <v>7</v>
      </c>
      <c r="L234" s="97" t="s">
        <v>449</v>
      </c>
      <c r="M234" s="108">
        <v>2013</v>
      </c>
      <c r="N234" s="155">
        <v>2015</v>
      </c>
      <c r="O234" s="142"/>
      <c r="P234" s="127"/>
      <c r="Q234" s="254"/>
      <c r="R234" s="141"/>
      <c r="S234" s="141"/>
      <c r="T234" s="141"/>
      <c r="U234" s="142"/>
      <c r="V234" s="142"/>
      <c r="W234" s="1" t="s">
        <v>1329</v>
      </c>
      <c r="X234" s="108"/>
      <c r="Y234" s="108"/>
      <c r="Z234" s="296" t="s">
        <v>1087</v>
      </c>
      <c r="AA234" s="165" t="s">
        <v>1266</v>
      </c>
      <c r="AB234" s="165" t="s">
        <v>1209</v>
      </c>
      <c r="AC234" s="117"/>
      <c r="AD23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3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3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3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34"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34"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34" s="10">
        <f t="shared" si="19"/>
        <v>0</v>
      </c>
      <c r="AK234" s="10">
        <f t="shared" si="21"/>
        <v>0</v>
      </c>
      <c r="AL234" s="10">
        <f t="shared" si="20"/>
        <v>0</v>
      </c>
      <c r="AM234" s="6"/>
    </row>
    <row r="235" spans="1:39" ht="31.5" customHeight="1">
      <c r="A235" s="25" t="s">
        <v>231</v>
      </c>
      <c r="B235" s="25" t="s">
        <v>705</v>
      </c>
      <c r="C235" s="18" t="s">
        <v>705</v>
      </c>
      <c r="D235" s="26"/>
      <c r="E235" s="27"/>
      <c r="F235" s="26" t="s">
        <v>706</v>
      </c>
      <c r="G235" s="28" t="s">
        <v>707</v>
      </c>
      <c r="H235" s="64" t="s">
        <v>26</v>
      </c>
      <c r="I235" s="66" t="s">
        <v>7</v>
      </c>
      <c r="J235" s="51" t="s">
        <v>10</v>
      </c>
      <c r="K235" s="109" t="s">
        <v>7</v>
      </c>
      <c r="L235" s="64" t="s">
        <v>1054</v>
      </c>
      <c r="M235" s="55">
        <v>2011</v>
      </c>
      <c r="N235" s="86">
        <v>2018</v>
      </c>
      <c r="O235" s="104">
        <v>502.29700000000003</v>
      </c>
      <c r="P235" s="29"/>
      <c r="Q235" s="257">
        <v>30.9</v>
      </c>
      <c r="R235" s="145">
        <v>23.521000000000001</v>
      </c>
      <c r="S235" s="145">
        <v>5.6059999999999999</v>
      </c>
      <c r="T235" s="145">
        <v>158.43600000000001</v>
      </c>
      <c r="U235" s="145">
        <v>161.089</v>
      </c>
      <c r="V235" s="104"/>
      <c r="W235" s="119" t="s">
        <v>13</v>
      </c>
      <c r="X235" s="120" t="s">
        <v>19</v>
      </c>
      <c r="Y235" s="88" t="s">
        <v>28</v>
      </c>
      <c r="Z235" s="296" t="s">
        <v>1066</v>
      </c>
      <c r="AA235" s="17" t="s">
        <v>708</v>
      </c>
      <c r="AB235" s="26" t="s">
        <v>1305</v>
      </c>
      <c r="AC235" s="117"/>
      <c r="AD23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33.008941256903569</v>
      </c>
      <c r="AE23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25.126320624712907</v>
      </c>
      <c r="AF23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5.9886124493916313</v>
      </c>
      <c r="AG23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169.24934035530012</v>
      </c>
      <c r="AH235"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172.08340900107893</v>
      </c>
      <c r="AI235"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35" s="10">
        <f t="shared" si="19"/>
        <v>233.37321468630822</v>
      </c>
      <c r="AK235" s="10">
        <f t="shared" si="21"/>
        <v>172.08340900107893</v>
      </c>
      <c r="AL235" s="10">
        <f t="shared" si="20"/>
        <v>372.44768243048361</v>
      </c>
      <c r="AM235" s="6"/>
    </row>
    <row r="236" spans="1:39" ht="31.5" customHeight="1">
      <c r="A236" s="25" t="s">
        <v>231</v>
      </c>
      <c r="B236" s="25" t="s">
        <v>705</v>
      </c>
      <c r="C236" s="18" t="s">
        <v>705</v>
      </c>
      <c r="D236" s="26"/>
      <c r="E236" s="27"/>
      <c r="F236" s="26" t="s">
        <v>710</v>
      </c>
      <c r="G236" s="28" t="s">
        <v>711</v>
      </c>
      <c r="H236" s="64" t="s">
        <v>14</v>
      </c>
      <c r="I236" s="66" t="s">
        <v>7</v>
      </c>
      <c r="J236" s="51" t="s">
        <v>10</v>
      </c>
      <c r="K236" s="109" t="s">
        <v>7</v>
      </c>
      <c r="L236" s="64" t="s">
        <v>444</v>
      </c>
      <c r="M236" s="55" t="s">
        <v>27</v>
      </c>
      <c r="N236" s="86" t="s">
        <v>712</v>
      </c>
      <c r="O236" s="104">
        <v>276.57999999999993</v>
      </c>
      <c r="P236" s="29"/>
      <c r="Q236" s="257">
        <v>0.26</v>
      </c>
      <c r="R236" s="145"/>
      <c r="S236" s="145"/>
      <c r="T236" s="145">
        <v>5.1989999999999998</v>
      </c>
      <c r="U236" s="145">
        <v>39.69</v>
      </c>
      <c r="V236" s="104"/>
      <c r="W236" s="119" t="s">
        <v>13</v>
      </c>
      <c r="X236" s="120" t="s">
        <v>19</v>
      </c>
      <c r="Y236" s="88" t="s">
        <v>28</v>
      </c>
      <c r="Z236" s="296" t="s">
        <v>1066</v>
      </c>
      <c r="AA236" s="17" t="s">
        <v>708</v>
      </c>
      <c r="AB236" s="26" t="s">
        <v>1304</v>
      </c>
      <c r="AC236" s="117"/>
      <c r="AD23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0.27774513678947987</v>
      </c>
      <c r="AE23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3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3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5.5538344852634838</v>
      </c>
      <c r="AH236"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42.398863381440215</v>
      </c>
      <c r="AI236"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36" s="10">
        <f t="shared" si="19"/>
        <v>5.8315796220529634</v>
      </c>
      <c r="AK236" s="10">
        <f t="shared" si="21"/>
        <v>42.398863381440215</v>
      </c>
      <c r="AL236" s="10">
        <f t="shared" si="20"/>
        <v>47.952697866703701</v>
      </c>
      <c r="AM236" s="6"/>
    </row>
    <row r="237" spans="1:39" ht="31.5" customHeight="1">
      <c r="A237" s="25" t="s">
        <v>231</v>
      </c>
      <c r="B237" s="25" t="s">
        <v>705</v>
      </c>
      <c r="C237" s="18" t="s">
        <v>705</v>
      </c>
      <c r="D237" s="26"/>
      <c r="E237" s="27"/>
      <c r="F237" s="26" t="s">
        <v>24</v>
      </c>
      <c r="G237" s="28" t="s">
        <v>713</v>
      </c>
      <c r="H237" s="64" t="s">
        <v>24</v>
      </c>
      <c r="I237" s="66" t="s">
        <v>7</v>
      </c>
      <c r="J237" s="51" t="s">
        <v>10</v>
      </c>
      <c r="K237" s="109" t="s">
        <v>7</v>
      </c>
      <c r="L237" s="64" t="s">
        <v>1054</v>
      </c>
      <c r="M237" s="55" t="s">
        <v>9</v>
      </c>
      <c r="N237" s="86">
        <v>2017</v>
      </c>
      <c r="O237" s="104">
        <v>157.10300000000001</v>
      </c>
      <c r="P237" s="29"/>
      <c r="Q237" s="257">
        <v>19.524999999999999</v>
      </c>
      <c r="R237" s="145">
        <v>12.634</v>
      </c>
      <c r="S237" s="145">
        <v>24.579000000000001</v>
      </c>
      <c r="T237" s="145">
        <v>32.273000000000003</v>
      </c>
      <c r="U237" s="145">
        <v>26.472999999999999</v>
      </c>
      <c r="V237" s="104"/>
      <c r="W237" s="119" t="s">
        <v>13</v>
      </c>
      <c r="X237" s="120" t="s">
        <v>19</v>
      </c>
      <c r="Y237" s="88" t="s">
        <v>28</v>
      </c>
      <c r="Z237" s="296" t="s">
        <v>1066</v>
      </c>
      <c r="AA237" s="17" t="s">
        <v>708</v>
      </c>
      <c r="AB237" s="26" t="s">
        <v>1306</v>
      </c>
      <c r="AC237" s="117"/>
      <c r="AD23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20.857591522363823</v>
      </c>
      <c r="AE23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13.496277146916496</v>
      </c>
      <c r="AF23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26.256529681340869</v>
      </c>
      <c r="AG23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34.475649229257243</v>
      </c>
      <c r="AH237"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28.279796177799614</v>
      </c>
      <c r="AI237"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37" s="10">
        <f t="shared" si="19"/>
        <v>95.086047579878425</v>
      </c>
      <c r="AK237" s="10">
        <f t="shared" si="21"/>
        <v>28.279796177799614</v>
      </c>
      <c r="AL237" s="10">
        <f t="shared" si="20"/>
        <v>102.50825223531422</v>
      </c>
      <c r="AM237" s="6"/>
    </row>
    <row r="238" spans="1:39" ht="31.5" customHeight="1">
      <c r="A238" s="25" t="s">
        <v>231</v>
      </c>
      <c r="B238" s="25" t="s">
        <v>705</v>
      </c>
      <c r="C238" s="18" t="s">
        <v>705</v>
      </c>
      <c r="D238" s="26"/>
      <c r="E238" s="27"/>
      <c r="F238" s="26" t="s">
        <v>716</v>
      </c>
      <c r="G238" s="28" t="s">
        <v>717</v>
      </c>
      <c r="H238" s="64" t="s">
        <v>23</v>
      </c>
      <c r="I238" s="66" t="s">
        <v>7</v>
      </c>
      <c r="J238" s="51" t="s">
        <v>10</v>
      </c>
      <c r="K238" s="109" t="s">
        <v>7</v>
      </c>
      <c r="L238" s="64" t="s">
        <v>444</v>
      </c>
      <c r="M238" s="55" t="s">
        <v>27</v>
      </c>
      <c r="N238" s="86">
        <v>2019</v>
      </c>
      <c r="O238" s="104">
        <v>207.279</v>
      </c>
      <c r="P238" s="29"/>
      <c r="Q238" s="257">
        <v>3.359</v>
      </c>
      <c r="R238" s="145">
        <v>7.0250000000000004</v>
      </c>
      <c r="S238" s="145">
        <v>9.1880000000000006</v>
      </c>
      <c r="T238" s="145">
        <v>21.657</v>
      </c>
      <c r="U238" s="145">
        <v>160.18199999999999</v>
      </c>
      <c r="V238" s="104"/>
      <c r="W238" s="119" t="s">
        <v>13</v>
      </c>
      <c r="X238" s="120" t="s">
        <v>19</v>
      </c>
      <c r="Y238" s="88" t="s">
        <v>28</v>
      </c>
      <c r="Z238" s="296" t="s">
        <v>1066</v>
      </c>
      <c r="AA238" s="17" t="s">
        <v>708</v>
      </c>
      <c r="AB238" s="26" t="s">
        <v>1307</v>
      </c>
      <c r="AC238" s="117"/>
      <c r="AD23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3.5882535172148566</v>
      </c>
      <c r="AE23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7.5044599459465227</v>
      </c>
      <c r="AF23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9.8150858339297731</v>
      </c>
      <c r="AG23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23.135101644037558</v>
      </c>
      <c r="AH238"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171.11450577389408</v>
      </c>
      <c r="AI238"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38" s="10">
        <f t="shared" si="19"/>
        <v>44.042900941128707</v>
      </c>
      <c r="AK238" s="10">
        <f t="shared" si="21"/>
        <v>171.11450577389408</v>
      </c>
      <c r="AL238" s="10">
        <f t="shared" si="20"/>
        <v>211.56915319780791</v>
      </c>
      <c r="AM238" s="6"/>
    </row>
    <row r="239" spans="1:39" ht="31.5" customHeight="1">
      <c r="A239" s="25" t="s">
        <v>231</v>
      </c>
      <c r="B239" s="25" t="s">
        <v>705</v>
      </c>
      <c r="C239" s="18" t="s">
        <v>705</v>
      </c>
      <c r="D239" s="26"/>
      <c r="E239" s="27"/>
      <c r="F239" s="26" t="s">
        <v>718</v>
      </c>
      <c r="G239" s="28" t="s">
        <v>719</v>
      </c>
      <c r="H239" s="64" t="s">
        <v>23</v>
      </c>
      <c r="I239" s="66" t="s">
        <v>7</v>
      </c>
      <c r="J239" s="51" t="s">
        <v>10</v>
      </c>
      <c r="K239" s="109" t="s">
        <v>7</v>
      </c>
      <c r="L239" s="64" t="s">
        <v>444</v>
      </c>
      <c r="M239" s="55" t="s">
        <v>27</v>
      </c>
      <c r="N239" s="86" t="s">
        <v>720</v>
      </c>
      <c r="O239" s="104">
        <v>549.42999999999995</v>
      </c>
      <c r="P239" s="29"/>
      <c r="Q239" s="257">
        <v>20.672999999999998</v>
      </c>
      <c r="R239" s="145">
        <v>22.449000000000002</v>
      </c>
      <c r="S239" s="145">
        <v>31.085999999999999</v>
      </c>
      <c r="T239" s="145">
        <v>44.435000000000002</v>
      </c>
      <c r="U239" s="145">
        <v>262.66200000000003</v>
      </c>
      <c r="V239" s="104"/>
      <c r="W239" s="119" t="s">
        <v>13</v>
      </c>
      <c r="X239" s="120" t="s">
        <v>19</v>
      </c>
      <c r="Y239" s="88" t="s">
        <v>28</v>
      </c>
      <c r="Z239" s="296" t="s">
        <v>1066</v>
      </c>
      <c r="AA239" s="17" t="s">
        <v>708</v>
      </c>
      <c r="AB239" s="26" t="s">
        <v>1308</v>
      </c>
      <c r="AC239" s="117"/>
      <c r="AD23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22.083943126341985</v>
      </c>
      <c r="AE23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23.981156060719361</v>
      </c>
      <c r="AF23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33.207635854760653</v>
      </c>
      <c r="AG23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47.467712127848223</v>
      </c>
      <c r="AH239"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280.58881968999373</v>
      </c>
      <c r="AI239"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39" s="10">
        <f t="shared" si="19"/>
        <v>126.74044716967023</v>
      </c>
      <c r="AK239" s="10">
        <f t="shared" si="21"/>
        <v>280.58881968999373</v>
      </c>
      <c r="AL239" s="10">
        <f t="shared" si="20"/>
        <v>385.24532373332198</v>
      </c>
      <c r="AM239" s="6"/>
    </row>
    <row r="240" spans="1:39" ht="31.5" customHeight="1">
      <c r="A240" s="25" t="s">
        <v>231</v>
      </c>
      <c r="B240" s="25" t="s">
        <v>705</v>
      </c>
      <c r="C240" s="18" t="s">
        <v>705</v>
      </c>
      <c r="D240" s="26" t="s">
        <v>721</v>
      </c>
      <c r="E240" s="27"/>
      <c r="F240" s="26"/>
      <c r="G240" s="28" t="s">
        <v>722</v>
      </c>
      <c r="H240" s="64" t="s">
        <v>723</v>
      </c>
      <c r="I240" s="66" t="s">
        <v>7</v>
      </c>
      <c r="J240" s="51" t="s">
        <v>10</v>
      </c>
      <c r="K240" s="109" t="s">
        <v>7</v>
      </c>
      <c r="L240" s="64" t="s">
        <v>1000</v>
      </c>
      <c r="M240" s="55" t="s">
        <v>27</v>
      </c>
      <c r="N240" s="164" t="s">
        <v>27</v>
      </c>
      <c r="O240" s="104">
        <v>12260.71</v>
      </c>
      <c r="P240" s="29"/>
      <c r="Q240" s="257">
        <v>921.37299999999993</v>
      </c>
      <c r="R240" s="145">
        <v>708.62599999999998</v>
      </c>
      <c r="S240" s="145">
        <v>650.67499999999995</v>
      </c>
      <c r="T240" s="145">
        <v>928.60500000000002</v>
      </c>
      <c r="U240" s="145">
        <v>5592.8250000000007</v>
      </c>
      <c r="V240" s="145">
        <v>4379.9780000000001</v>
      </c>
      <c r="W240" s="119" t="s">
        <v>13</v>
      </c>
      <c r="X240" s="120" t="s">
        <v>19</v>
      </c>
      <c r="Y240" s="88" t="s">
        <v>28</v>
      </c>
      <c r="Z240" s="298" t="s">
        <v>1066</v>
      </c>
      <c r="AA240" s="17" t="s">
        <v>708</v>
      </c>
      <c r="AB240" s="26" t="s">
        <v>1302</v>
      </c>
      <c r="AC240" s="117"/>
      <c r="AD24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984.25719199666685</v>
      </c>
      <c r="AE24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756.99009731762283</v>
      </c>
      <c r="AF24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695.08391107882608</v>
      </c>
      <c r="AG24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991.98277980151897</v>
      </c>
      <c r="AH240"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5974.5382487100887</v>
      </c>
      <c r="AI240"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4678.9138028650477</v>
      </c>
      <c r="AJ240" s="32">
        <f t="shared" si="19"/>
        <v>3428.313980194635</v>
      </c>
      <c r="AK240" s="32">
        <f t="shared" si="21"/>
        <v>10653.452051575136</v>
      </c>
      <c r="AL240" s="32">
        <f t="shared" si="20"/>
        <v>13097.508839773103</v>
      </c>
      <c r="AM240" s="6"/>
    </row>
    <row r="241" spans="1:39" ht="31.5" customHeight="1">
      <c r="A241" s="25" t="s">
        <v>231</v>
      </c>
      <c r="B241" s="25" t="s">
        <v>705</v>
      </c>
      <c r="C241" s="18" t="s">
        <v>705</v>
      </c>
      <c r="D241" s="26"/>
      <c r="E241" s="27"/>
      <c r="F241" s="26" t="s">
        <v>726</v>
      </c>
      <c r="G241" s="28" t="s">
        <v>727</v>
      </c>
      <c r="H241" s="64" t="s">
        <v>6</v>
      </c>
      <c r="I241" s="66" t="s">
        <v>7</v>
      </c>
      <c r="J241" s="51" t="s">
        <v>10</v>
      </c>
      <c r="K241" s="109" t="s">
        <v>7</v>
      </c>
      <c r="L241" s="64" t="s">
        <v>1054</v>
      </c>
      <c r="M241" s="55" t="s">
        <v>9</v>
      </c>
      <c r="N241" s="86">
        <v>2015</v>
      </c>
      <c r="O241" s="104">
        <v>34.033999999999999</v>
      </c>
      <c r="P241" s="29"/>
      <c r="Q241" s="257">
        <v>2.1190000000000002</v>
      </c>
      <c r="R241" s="145">
        <v>12.86</v>
      </c>
      <c r="S241" s="145">
        <v>3.395</v>
      </c>
      <c r="T241" s="145">
        <v>1.4999999999999999E-2</v>
      </c>
      <c r="U241" s="145"/>
      <c r="V241" s="104"/>
      <c r="W241" s="119" t="s">
        <v>13</v>
      </c>
      <c r="X241" s="120" t="s">
        <v>19</v>
      </c>
      <c r="Y241" s="88" t="s">
        <v>28</v>
      </c>
      <c r="Z241" s="296" t="s">
        <v>1066</v>
      </c>
      <c r="AA241" s="17" t="s">
        <v>708</v>
      </c>
      <c r="AB241" s="26" t="s">
        <v>1298</v>
      </c>
      <c r="AC241" s="117"/>
      <c r="AD24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2.2636228648342613</v>
      </c>
      <c r="AE24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13.73770176581812</v>
      </c>
      <c r="AF24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3.6267105361549388</v>
      </c>
      <c r="AG24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1.6023757891700761E-2</v>
      </c>
      <c r="AH241"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41"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41" s="10">
        <f t="shared" si="19"/>
        <v>19.644058924699021</v>
      </c>
      <c r="AK241" s="10">
        <f t="shared" si="21"/>
        <v>0</v>
      </c>
      <c r="AL241" s="10">
        <f t="shared" si="20"/>
        <v>17.38043605986476</v>
      </c>
      <c r="AM241" s="6"/>
    </row>
    <row r="242" spans="1:39" ht="31.5" customHeight="1">
      <c r="A242" s="25" t="s">
        <v>231</v>
      </c>
      <c r="B242" s="25" t="s">
        <v>705</v>
      </c>
      <c r="C242" s="18" t="s">
        <v>705</v>
      </c>
      <c r="D242" s="26"/>
      <c r="E242" s="27"/>
      <c r="F242" s="26" t="s">
        <v>1127</v>
      </c>
      <c r="G242" s="26" t="s">
        <v>1127</v>
      </c>
      <c r="H242" s="64" t="s">
        <v>17</v>
      </c>
      <c r="I242" s="66" t="s">
        <v>7</v>
      </c>
      <c r="J242" s="51" t="s">
        <v>10</v>
      </c>
      <c r="K242" s="109" t="s">
        <v>7</v>
      </c>
      <c r="L242" s="64" t="s">
        <v>1054</v>
      </c>
      <c r="M242" s="75">
        <v>2010</v>
      </c>
      <c r="N242" s="86">
        <v>2015</v>
      </c>
      <c r="O242" s="104">
        <v>690</v>
      </c>
      <c r="P242" s="29"/>
      <c r="Q242" s="251"/>
      <c r="R242" s="171">
        <v>157</v>
      </c>
      <c r="S242" s="171">
        <v>110</v>
      </c>
      <c r="T242" s="171">
        <v>78</v>
      </c>
      <c r="U242" s="104"/>
      <c r="V242" s="104"/>
      <c r="W242" s="119" t="s">
        <v>13</v>
      </c>
      <c r="X242" s="120" t="s">
        <v>19</v>
      </c>
      <c r="Y242" s="88" t="s">
        <v>28</v>
      </c>
      <c r="Z242" s="299" t="s">
        <v>1153</v>
      </c>
      <c r="AA242" s="17" t="s">
        <v>1157</v>
      </c>
      <c r="AB242" s="243" t="s">
        <v>1158</v>
      </c>
      <c r="AC242" s="117" t="s">
        <v>10</v>
      </c>
      <c r="AD24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4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167.71533259980129</v>
      </c>
      <c r="AF24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117.50755787247225</v>
      </c>
      <c r="AG24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83.323541036843963</v>
      </c>
      <c r="AH242"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42"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42" s="32">
        <f t="shared" si="19"/>
        <v>368.5464315091175</v>
      </c>
      <c r="AK242" s="32">
        <f t="shared" ref="AK242:AK248" si="22">+SUM(AH242:AI242)</f>
        <v>0</v>
      </c>
      <c r="AL242" s="32">
        <f t="shared" si="20"/>
        <v>368.5464315091175</v>
      </c>
      <c r="AM242" s="6"/>
    </row>
    <row r="243" spans="1:39" ht="31.5" customHeight="1">
      <c r="A243" s="25" t="s">
        <v>231</v>
      </c>
      <c r="B243" s="25" t="s">
        <v>705</v>
      </c>
      <c r="C243" s="18" t="s">
        <v>705</v>
      </c>
      <c r="D243" s="26"/>
      <c r="E243" s="27"/>
      <c r="F243" s="26" t="s">
        <v>1128</v>
      </c>
      <c r="G243" s="26" t="s">
        <v>1128</v>
      </c>
      <c r="H243" s="64" t="s">
        <v>17</v>
      </c>
      <c r="I243" s="66" t="s">
        <v>7</v>
      </c>
      <c r="J243" s="51" t="s">
        <v>10</v>
      </c>
      <c r="K243" s="109" t="s">
        <v>7</v>
      </c>
      <c r="L243" s="64" t="s">
        <v>1054</v>
      </c>
      <c r="M243" s="75">
        <v>2010</v>
      </c>
      <c r="N243" s="86">
        <v>2015</v>
      </c>
      <c r="O243" s="104">
        <v>85</v>
      </c>
      <c r="P243" s="29"/>
      <c r="Q243" s="251"/>
      <c r="R243" s="171">
        <v>18</v>
      </c>
      <c r="S243" s="171">
        <v>19</v>
      </c>
      <c r="T243" s="171">
        <v>14</v>
      </c>
      <c r="U243" s="104"/>
      <c r="V243" s="104"/>
      <c r="W243" s="119" t="s">
        <v>13</v>
      </c>
      <c r="X243" s="120" t="s">
        <v>19</v>
      </c>
      <c r="Y243" s="88" t="s">
        <v>28</v>
      </c>
      <c r="Z243" s="299" t="s">
        <v>1154</v>
      </c>
      <c r="AA243" s="17" t="s">
        <v>1157</v>
      </c>
      <c r="AB243" s="243" t="s">
        <v>1159</v>
      </c>
      <c r="AC243" s="117"/>
      <c r="AD24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4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19.228509470040912</v>
      </c>
      <c r="AF24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20.296759996154297</v>
      </c>
      <c r="AG24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14.955507365587376</v>
      </c>
      <c r="AH243"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43"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43" s="32">
        <f t="shared" si="19"/>
        <v>54.480776831782592</v>
      </c>
      <c r="AK243" s="32">
        <f t="shared" si="22"/>
        <v>0</v>
      </c>
      <c r="AL243" s="32">
        <f t="shared" si="20"/>
        <v>54.480776831782592</v>
      </c>
      <c r="AM243" s="6"/>
    </row>
    <row r="244" spans="1:39" ht="31.5" customHeight="1">
      <c r="A244" s="25" t="s">
        <v>231</v>
      </c>
      <c r="B244" s="25" t="s">
        <v>705</v>
      </c>
      <c r="C244" s="18" t="s">
        <v>705</v>
      </c>
      <c r="D244" s="26"/>
      <c r="E244" s="27"/>
      <c r="F244" s="243" t="s">
        <v>1151</v>
      </c>
      <c r="G244" s="243" t="s">
        <v>1151</v>
      </c>
      <c r="H244" s="167" t="s">
        <v>17</v>
      </c>
      <c r="I244" s="66" t="s">
        <v>7</v>
      </c>
      <c r="J244" s="168" t="s">
        <v>10</v>
      </c>
      <c r="K244" s="109" t="s">
        <v>7</v>
      </c>
      <c r="L244" s="168" t="s">
        <v>1054</v>
      </c>
      <c r="M244" s="169">
        <v>2010</v>
      </c>
      <c r="N244" s="169">
        <v>2013</v>
      </c>
      <c r="O244" s="171">
        <v>50</v>
      </c>
      <c r="P244" s="170"/>
      <c r="Q244" s="252"/>
      <c r="R244" s="171">
        <v>8</v>
      </c>
      <c r="S244" s="171"/>
      <c r="T244" s="171"/>
      <c r="U244" s="171"/>
      <c r="V244" s="171"/>
      <c r="W244" s="119" t="s">
        <v>13</v>
      </c>
      <c r="X244" s="120" t="s">
        <v>19</v>
      </c>
      <c r="Y244" s="88" t="s">
        <v>28</v>
      </c>
      <c r="Z244" s="299" t="s">
        <v>1152</v>
      </c>
      <c r="AA244" s="17" t="s">
        <v>1157</v>
      </c>
      <c r="AB244" s="243" t="s">
        <v>1160</v>
      </c>
      <c r="AC244" s="117"/>
      <c r="AD24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4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8.5460042089070729</v>
      </c>
      <c r="AF24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4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44"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44"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44" s="32">
        <f t="shared" si="19"/>
        <v>8.5460042089070729</v>
      </c>
      <c r="AK244" s="32">
        <f t="shared" ref="AK244" si="23">+SUM(AH244:AI244)</f>
        <v>0</v>
      </c>
      <c r="AL244" s="32">
        <f t="shared" si="20"/>
        <v>8.5460042089070729</v>
      </c>
      <c r="AM244" s="6"/>
    </row>
    <row r="245" spans="1:39" ht="31.5" customHeight="1">
      <c r="A245" s="25" t="s">
        <v>231</v>
      </c>
      <c r="B245" s="25" t="s">
        <v>705</v>
      </c>
      <c r="C245" s="18" t="s">
        <v>705</v>
      </c>
      <c r="D245" s="26"/>
      <c r="E245" s="27"/>
      <c r="F245" s="26" t="s">
        <v>1129</v>
      </c>
      <c r="G245" s="26" t="s">
        <v>1129</v>
      </c>
      <c r="H245" s="64" t="s">
        <v>17</v>
      </c>
      <c r="I245" s="66" t="s">
        <v>7</v>
      </c>
      <c r="J245" s="51" t="s">
        <v>10</v>
      </c>
      <c r="K245" s="109" t="s">
        <v>7</v>
      </c>
      <c r="L245" s="64" t="s">
        <v>1054</v>
      </c>
      <c r="M245" s="75">
        <v>2012</v>
      </c>
      <c r="N245" s="86">
        <v>2015</v>
      </c>
      <c r="O245" s="104">
        <v>62</v>
      </c>
      <c r="P245" s="29"/>
      <c r="Q245" s="251"/>
      <c r="R245" s="171">
        <v>19</v>
      </c>
      <c r="S245" s="171">
        <v>23</v>
      </c>
      <c r="T245" s="171">
        <v>9</v>
      </c>
      <c r="U245" s="104">
        <v>2</v>
      </c>
      <c r="V245" s="104"/>
      <c r="W245" s="119" t="s">
        <v>13</v>
      </c>
      <c r="X245" s="120" t="s">
        <v>19</v>
      </c>
      <c r="Y245" s="88" t="s">
        <v>28</v>
      </c>
      <c r="Z245" s="299" t="s">
        <v>1155</v>
      </c>
      <c r="AA245" s="17" t="s">
        <v>1157</v>
      </c>
      <c r="AB245" s="243" t="s">
        <v>1161</v>
      </c>
      <c r="AC245" s="117"/>
      <c r="AD24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4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20.296759996154297</v>
      </c>
      <c r="AF24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24.569762100607832</v>
      </c>
      <c r="AG24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9.6142547350204559</v>
      </c>
      <c r="AH245"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2.1365010522267682</v>
      </c>
      <c r="AI245"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45" s="32">
        <f t="shared" si="19"/>
        <v>54.480776831782578</v>
      </c>
      <c r="AK245" s="32">
        <f t="shared" si="22"/>
        <v>2.1365010522267682</v>
      </c>
      <c r="AL245" s="32">
        <f t="shared" si="20"/>
        <v>56.617277884009347</v>
      </c>
      <c r="AM245" s="6"/>
    </row>
    <row r="246" spans="1:39" ht="31.5" customHeight="1">
      <c r="A246" s="25" t="s">
        <v>231</v>
      </c>
      <c r="B246" s="25" t="s">
        <v>705</v>
      </c>
      <c r="C246" s="18" t="s">
        <v>705</v>
      </c>
      <c r="D246" s="26"/>
      <c r="E246" s="27"/>
      <c r="F246" s="26" t="s">
        <v>1130</v>
      </c>
      <c r="G246" s="26" t="s">
        <v>1130</v>
      </c>
      <c r="H246" s="64" t="s">
        <v>17</v>
      </c>
      <c r="I246" s="66" t="s">
        <v>7</v>
      </c>
      <c r="J246" s="51" t="s">
        <v>10</v>
      </c>
      <c r="K246" s="109" t="s">
        <v>7</v>
      </c>
      <c r="L246" s="64" t="s">
        <v>1054</v>
      </c>
      <c r="M246" s="75">
        <v>2013</v>
      </c>
      <c r="N246" s="86">
        <v>2016</v>
      </c>
      <c r="O246" s="104">
        <v>202</v>
      </c>
      <c r="P246" s="29"/>
      <c r="Q246" s="251"/>
      <c r="R246" s="171">
        <v>30</v>
      </c>
      <c r="S246" s="171">
        <v>39</v>
      </c>
      <c r="T246" s="171">
        <v>123</v>
      </c>
      <c r="U246" s="104">
        <v>10</v>
      </c>
      <c r="V246" s="104"/>
      <c r="W246" s="119" t="s">
        <v>13</v>
      </c>
      <c r="X246" s="120" t="s">
        <v>19</v>
      </c>
      <c r="Y246" s="88" t="s">
        <v>28</v>
      </c>
      <c r="Z246" s="299" t="s">
        <v>1156</v>
      </c>
      <c r="AA246" s="17" t="s">
        <v>1157</v>
      </c>
      <c r="AB246" s="243" t="s">
        <v>1162</v>
      </c>
      <c r="AC246" s="117"/>
      <c r="AD24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4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32.047515783401522</v>
      </c>
      <c r="AF24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41.661770518421982</v>
      </c>
      <c r="AG24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131.39481471194625</v>
      </c>
      <c r="AH246"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10.682505261133841</v>
      </c>
      <c r="AI246"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46" s="32">
        <f t="shared" si="19"/>
        <v>205.10410101376976</v>
      </c>
      <c r="AK246" s="32">
        <f t="shared" si="22"/>
        <v>10.682505261133841</v>
      </c>
      <c r="AL246" s="32">
        <f t="shared" si="20"/>
        <v>215.78660627490359</v>
      </c>
      <c r="AM246" s="6"/>
    </row>
    <row r="247" spans="1:39" ht="31.5" customHeight="1">
      <c r="A247" s="25" t="s">
        <v>231</v>
      </c>
      <c r="B247" s="25" t="s">
        <v>705</v>
      </c>
      <c r="C247" s="18" t="s">
        <v>705</v>
      </c>
      <c r="D247" s="26"/>
      <c r="E247" s="27"/>
      <c r="F247" s="26" t="s">
        <v>1131</v>
      </c>
      <c r="G247" s="26" t="s">
        <v>1131</v>
      </c>
      <c r="H247" s="64" t="s">
        <v>17</v>
      </c>
      <c r="I247" s="66" t="s">
        <v>7</v>
      </c>
      <c r="J247" s="51" t="s">
        <v>10</v>
      </c>
      <c r="K247" s="109" t="s">
        <v>7</v>
      </c>
      <c r="L247" s="64" t="s">
        <v>1054</v>
      </c>
      <c r="M247" s="75" t="s">
        <v>9</v>
      </c>
      <c r="N247" s="86">
        <v>2021</v>
      </c>
      <c r="O247" s="104">
        <v>800</v>
      </c>
      <c r="P247" s="29"/>
      <c r="Q247" s="251"/>
      <c r="R247" s="171">
        <v>100</v>
      </c>
      <c r="S247" s="171">
        <v>100</v>
      </c>
      <c r="T247" s="171">
        <v>100</v>
      </c>
      <c r="U247" s="104">
        <v>400</v>
      </c>
      <c r="V247" s="104">
        <v>100</v>
      </c>
      <c r="W247" s="119" t="s">
        <v>13</v>
      </c>
      <c r="X247" s="120" t="s">
        <v>19</v>
      </c>
      <c r="Y247" s="88" t="s">
        <v>28</v>
      </c>
      <c r="Z247" s="300" t="s">
        <v>1164</v>
      </c>
      <c r="AA247" s="17" t="s">
        <v>1157</v>
      </c>
      <c r="AB247" s="243" t="s">
        <v>1163</v>
      </c>
      <c r="AC247" s="117"/>
      <c r="AD24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4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106.82505261133841</v>
      </c>
      <c r="AF24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106.82505261133841</v>
      </c>
      <c r="AG24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106.82505261133841</v>
      </c>
      <c r="AH247"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427.30021044535363</v>
      </c>
      <c r="AI247"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106.82505261133841</v>
      </c>
      <c r="AJ247" s="32">
        <f t="shared" si="19"/>
        <v>320.47515783401525</v>
      </c>
      <c r="AK247" s="32">
        <f t="shared" si="22"/>
        <v>534.12526305669201</v>
      </c>
      <c r="AL247" s="32">
        <f t="shared" si="20"/>
        <v>854.60042089070726</v>
      </c>
      <c r="AM247" s="6"/>
    </row>
    <row r="248" spans="1:39" ht="31.5" customHeight="1">
      <c r="A248" s="25" t="s">
        <v>231</v>
      </c>
      <c r="B248" s="25" t="s">
        <v>705</v>
      </c>
      <c r="C248" s="18" t="s">
        <v>705</v>
      </c>
      <c r="D248" s="26" t="s">
        <v>1125</v>
      </c>
      <c r="E248" s="27"/>
      <c r="F248" s="26"/>
      <c r="G248" s="28" t="s">
        <v>1126</v>
      </c>
      <c r="H248" s="64" t="s">
        <v>17</v>
      </c>
      <c r="I248" s="66" t="s">
        <v>7</v>
      </c>
      <c r="J248" s="51" t="s">
        <v>10</v>
      </c>
      <c r="K248" s="109" t="s">
        <v>7</v>
      </c>
      <c r="L248" s="64" t="s">
        <v>1000</v>
      </c>
      <c r="M248" s="164">
        <v>2013</v>
      </c>
      <c r="N248" s="86">
        <v>2021</v>
      </c>
      <c r="O248" s="104">
        <v>3809</v>
      </c>
      <c r="P248" s="29"/>
      <c r="Q248" s="251"/>
      <c r="R248" s="104">
        <v>5</v>
      </c>
      <c r="S248" s="104">
        <v>79</v>
      </c>
      <c r="T248" s="104">
        <v>445</v>
      </c>
      <c r="U248" s="104">
        <v>2884</v>
      </c>
      <c r="V248" s="104">
        <v>396</v>
      </c>
      <c r="W248" s="119" t="s">
        <v>13</v>
      </c>
      <c r="X248" s="120" t="s">
        <v>19</v>
      </c>
      <c r="Y248" s="88" t="s">
        <v>28</v>
      </c>
      <c r="Z248" s="293" t="s">
        <v>1164</v>
      </c>
      <c r="AA248" s="17" t="s">
        <v>1157</v>
      </c>
      <c r="AB248" s="234" t="s">
        <v>1188</v>
      </c>
      <c r="AC248" s="117"/>
      <c r="AD24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4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5.3412526305669203</v>
      </c>
      <c r="AF24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84.391791562957337</v>
      </c>
      <c r="AG24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475.37148412045593</v>
      </c>
      <c r="AH248"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3080.8345173109997</v>
      </c>
      <c r="AI248"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423.02720834090007</v>
      </c>
      <c r="AJ248" s="32">
        <f t="shared" si="19"/>
        <v>565.10452831398015</v>
      </c>
      <c r="AK248" s="32">
        <f t="shared" si="22"/>
        <v>3503.8617256518996</v>
      </c>
      <c r="AL248" s="32">
        <f t="shared" si="20"/>
        <v>4068.9662539658798</v>
      </c>
      <c r="AM248" s="6"/>
    </row>
    <row r="249" spans="1:39" ht="31.5" customHeight="1">
      <c r="A249" s="25" t="s">
        <v>231</v>
      </c>
      <c r="B249" s="25" t="s">
        <v>705</v>
      </c>
      <c r="C249" s="18" t="s">
        <v>705</v>
      </c>
      <c r="D249" s="26"/>
      <c r="E249" s="27"/>
      <c r="F249" s="26" t="s">
        <v>16</v>
      </c>
      <c r="G249" s="28" t="s">
        <v>730</v>
      </c>
      <c r="H249" s="64" t="s">
        <v>16</v>
      </c>
      <c r="I249" s="66" t="s">
        <v>7</v>
      </c>
      <c r="J249" s="51" t="s">
        <v>10</v>
      </c>
      <c r="K249" s="109" t="s">
        <v>7</v>
      </c>
      <c r="L249" s="64" t="s">
        <v>444</v>
      </c>
      <c r="M249" s="55" t="s">
        <v>27</v>
      </c>
      <c r="N249" s="86">
        <v>2019</v>
      </c>
      <c r="O249" s="104">
        <v>310.89</v>
      </c>
      <c r="P249" s="29"/>
      <c r="Q249" s="257">
        <v>15.292999999999999</v>
      </c>
      <c r="R249" s="145">
        <v>19.619</v>
      </c>
      <c r="S249" s="145">
        <v>21.847999999999999</v>
      </c>
      <c r="T249" s="145">
        <v>75.563999999999993</v>
      </c>
      <c r="U249" s="145">
        <v>193.85399999999998</v>
      </c>
      <c r="V249" s="104"/>
      <c r="W249" s="119" t="s">
        <v>13</v>
      </c>
      <c r="X249" s="120" t="s">
        <v>19</v>
      </c>
      <c r="Y249" s="88" t="s">
        <v>28</v>
      </c>
      <c r="Z249" s="296" t="s">
        <v>1066</v>
      </c>
      <c r="AA249" s="17" t="s">
        <v>708</v>
      </c>
      <c r="AB249" s="26" t="s">
        <v>1309</v>
      </c>
      <c r="AC249" s="117"/>
      <c r="AD24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16.336755295851983</v>
      </c>
      <c r="AE24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20.958007071818482</v>
      </c>
      <c r="AF24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23.339137494525211</v>
      </c>
      <c r="AG24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80.721282755231755</v>
      </c>
      <c r="AH249"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207.08463748918393</v>
      </c>
      <c r="AI249"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49" s="10">
        <f t="shared" si="19"/>
        <v>141.35518261742743</v>
      </c>
      <c r="AK249" s="10">
        <f t="shared" si="21"/>
        <v>207.08463748918393</v>
      </c>
      <c r="AL249" s="10">
        <f t="shared" si="20"/>
        <v>332.10306481075941</v>
      </c>
      <c r="AM249" s="6"/>
    </row>
    <row r="250" spans="1:39" ht="31.5" customHeight="1">
      <c r="A250" s="25" t="s">
        <v>231</v>
      </c>
      <c r="B250" s="25" t="s">
        <v>705</v>
      </c>
      <c r="C250" s="18" t="s">
        <v>705</v>
      </c>
      <c r="D250" s="26" t="s">
        <v>731</v>
      </c>
      <c r="E250" s="27"/>
      <c r="F250" s="26"/>
      <c r="G250" s="28" t="s">
        <v>728</v>
      </c>
      <c r="H250" s="64" t="s">
        <v>17</v>
      </c>
      <c r="I250" s="66" t="s">
        <v>7</v>
      </c>
      <c r="J250" s="51" t="s">
        <v>10</v>
      </c>
      <c r="K250" s="109" t="s">
        <v>7</v>
      </c>
      <c r="L250" s="64" t="s">
        <v>1000</v>
      </c>
      <c r="M250" s="56">
        <v>2013</v>
      </c>
      <c r="N250" s="86">
        <v>2021</v>
      </c>
      <c r="O250" s="104">
        <v>2005.9</v>
      </c>
      <c r="P250" s="29"/>
      <c r="Q250" s="251"/>
      <c r="R250" s="177">
        <v>242.6</v>
      </c>
      <c r="S250" s="177">
        <v>422.9</v>
      </c>
      <c r="T250" s="177">
        <v>359</v>
      </c>
      <c r="U250" s="177">
        <v>827.8</v>
      </c>
      <c r="V250" s="104">
        <v>153.69999999999999</v>
      </c>
      <c r="W250" s="119" t="s">
        <v>13</v>
      </c>
      <c r="X250" s="120" t="s">
        <v>19</v>
      </c>
      <c r="Y250" s="88" t="s">
        <v>28</v>
      </c>
      <c r="Z250" s="292" t="s">
        <v>1061</v>
      </c>
      <c r="AA250" s="17" t="s">
        <v>729</v>
      </c>
      <c r="AB250" s="26" t="s">
        <v>1287</v>
      </c>
      <c r="AC250" s="117"/>
      <c r="AD25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5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259.15757763510697</v>
      </c>
      <c r="AF25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451.76314749335012</v>
      </c>
      <c r="AG25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383.50193887470488</v>
      </c>
      <c r="AH250"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884.29778551665936</v>
      </c>
      <c r="AI250"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164.19010586362711</v>
      </c>
      <c r="AJ250" s="32">
        <f t="shared" si="19"/>
        <v>1094.422664003162</v>
      </c>
      <c r="AK250" s="32">
        <f t="shared" si="21"/>
        <v>1048.4878913802866</v>
      </c>
      <c r="AL250" s="32">
        <f t="shared" si="20"/>
        <v>2142.9105553834488</v>
      </c>
      <c r="AM250" s="6"/>
    </row>
    <row r="251" spans="1:39" ht="31.5" customHeight="1">
      <c r="A251" s="25" t="s">
        <v>231</v>
      </c>
      <c r="B251" s="25" t="s">
        <v>705</v>
      </c>
      <c r="C251" s="18" t="s">
        <v>705</v>
      </c>
      <c r="D251" s="18"/>
      <c r="E251" s="27"/>
      <c r="F251" s="26" t="s">
        <v>1212</v>
      </c>
      <c r="G251" s="28" t="s">
        <v>709</v>
      </c>
      <c r="H251" s="64" t="s">
        <v>6</v>
      </c>
      <c r="I251" s="66" t="s">
        <v>7</v>
      </c>
      <c r="J251" s="51" t="s">
        <v>10</v>
      </c>
      <c r="K251" s="109" t="s">
        <v>7</v>
      </c>
      <c r="L251" s="64" t="s">
        <v>444</v>
      </c>
      <c r="M251" s="55" t="s">
        <v>27</v>
      </c>
      <c r="N251" s="86">
        <v>2019</v>
      </c>
      <c r="O251" s="104">
        <v>590.14700000000005</v>
      </c>
      <c r="P251" s="29"/>
      <c r="Q251" s="257">
        <v>2.1840000000000002</v>
      </c>
      <c r="R251" s="145">
        <v>0.51900000000000002</v>
      </c>
      <c r="S251" s="145"/>
      <c r="T251" s="145">
        <v>29.492999999999999</v>
      </c>
      <c r="U251" s="145">
        <v>479.608</v>
      </c>
      <c r="V251" s="104"/>
      <c r="W251" s="119" t="s">
        <v>13</v>
      </c>
      <c r="X251" s="120" t="s">
        <v>19</v>
      </c>
      <c r="Y251" s="88" t="s">
        <v>28</v>
      </c>
      <c r="Z251" s="301" t="s">
        <v>1066</v>
      </c>
      <c r="AA251" s="17" t="s">
        <v>708</v>
      </c>
      <c r="AB251" s="26" t="s">
        <v>1297</v>
      </c>
      <c r="AC251" s="117"/>
      <c r="AD25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2.333059149031631</v>
      </c>
      <c r="AE25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0.55442202305284627</v>
      </c>
      <c r="AF25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5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31.505912766662032</v>
      </c>
      <c r="AH251"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512.34149832818798</v>
      </c>
      <c r="AI251"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51" s="10">
        <f t="shared" si="19"/>
        <v>34.393393938746513</v>
      </c>
      <c r="AK251" s="10">
        <f t="shared" si="21"/>
        <v>512.34149832818798</v>
      </c>
      <c r="AL251" s="10">
        <f t="shared" si="20"/>
        <v>544.40183311790281</v>
      </c>
      <c r="AM251" s="6"/>
    </row>
    <row r="252" spans="1:39" ht="31.5" customHeight="1">
      <c r="A252" s="25" t="s">
        <v>231</v>
      </c>
      <c r="B252" s="25" t="s">
        <v>705</v>
      </c>
      <c r="C252" s="18" t="s">
        <v>705</v>
      </c>
      <c r="D252" s="18"/>
      <c r="E252" s="27"/>
      <c r="F252" s="26" t="s">
        <v>714</v>
      </c>
      <c r="G252" s="28" t="s">
        <v>715</v>
      </c>
      <c r="H252" s="64" t="s">
        <v>24</v>
      </c>
      <c r="I252" s="66" t="s">
        <v>7</v>
      </c>
      <c r="J252" s="51" t="s">
        <v>10</v>
      </c>
      <c r="K252" s="109" t="s">
        <v>7</v>
      </c>
      <c r="L252" s="64" t="s">
        <v>1054</v>
      </c>
      <c r="M252" s="55">
        <v>2011</v>
      </c>
      <c r="N252" s="86">
        <v>2018</v>
      </c>
      <c r="O252" s="104">
        <v>654.31200000000001</v>
      </c>
      <c r="P252" s="29"/>
      <c r="Q252" s="257">
        <v>85.564999999999998</v>
      </c>
      <c r="R252" s="145">
        <v>125.14100000000001</v>
      </c>
      <c r="S252" s="145">
        <v>83.92</v>
      </c>
      <c r="T252" s="145">
        <v>54.752000000000002</v>
      </c>
      <c r="U252" s="145">
        <v>101.126</v>
      </c>
      <c r="V252" s="104"/>
      <c r="W252" s="119" t="s">
        <v>13</v>
      </c>
      <c r="X252" s="120" t="s">
        <v>19</v>
      </c>
      <c r="Y252" s="88" t="s">
        <v>28</v>
      </c>
      <c r="Z252" s="301" t="s">
        <v>1066</v>
      </c>
      <c r="AA252" s="17" t="s">
        <v>708</v>
      </c>
      <c r="AB252" s="26" t="s">
        <v>1303</v>
      </c>
      <c r="AC252" s="117" t="s">
        <v>10</v>
      </c>
      <c r="AD25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91.404856266891713</v>
      </c>
      <c r="AE25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133.68193908835499</v>
      </c>
      <c r="AF25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89.647584151435197</v>
      </c>
      <c r="AG25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58.488852805760004</v>
      </c>
      <c r="AH252"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108.02790270374209</v>
      </c>
      <c r="AI252"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52" s="10">
        <f t="shared" si="19"/>
        <v>373.22323231244189</v>
      </c>
      <c r="AK252" s="10">
        <f t="shared" si="21"/>
        <v>108.02790270374209</v>
      </c>
      <c r="AL252" s="10">
        <f t="shared" si="20"/>
        <v>389.84627874929225</v>
      </c>
      <c r="AM252" s="6"/>
    </row>
    <row r="253" spans="1:39" ht="31.5" customHeight="1">
      <c r="A253" s="25" t="s">
        <v>231</v>
      </c>
      <c r="B253" s="25" t="s">
        <v>705</v>
      </c>
      <c r="C253" s="18" t="s">
        <v>705</v>
      </c>
      <c r="D253" s="18"/>
      <c r="E253" s="27"/>
      <c r="F253" s="26" t="s">
        <v>724</v>
      </c>
      <c r="G253" s="28" t="s">
        <v>725</v>
      </c>
      <c r="H253" s="64" t="s">
        <v>6</v>
      </c>
      <c r="I253" s="66" t="s">
        <v>7</v>
      </c>
      <c r="J253" s="51" t="s">
        <v>10</v>
      </c>
      <c r="K253" s="109" t="s">
        <v>7</v>
      </c>
      <c r="L253" s="64" t="s">
        <v>1054</v>
      </c>
      <c r="M253" s="55" t="s">
        <v>9</v>
      </c>
      <c r="N253" s="86">
        <v>2014</v>
      </c>
      <c r="O253" s="104">
        <v>250.03900000000002</v>
      </c>
      <c r="P253" s="29"/>
      <c r="Q253" s="257">
        <v>28.927</v>
      </c>
      <c r="R253" s="145">
        <v>66.415999999999997</v>
      </c>
      <c r="S253" s="145">
        <v>7.6769999999999996</v>
      </c>
      <c r="T253" s="145">
        <v>1.4999999999999999E-2</v>
      </c>
      <c r="U253" s="145"/>
      <c r="V253" s="104"/>
      <c r="W253" s="119" t="s">
        <v>13</v>
      </c>
      <c r="X253" s="120" t="s">
        <v>19</v>
      </c>
      <c r="Y253" s="88" t="s">
        <v>28</v>
      </c>
      <c r="Z253" s="301" t="s">
        <v>1066</v>
      </c>
      <c r="AA253" s="17" t="s">
        <v>708</v>
      </c>
      <c r="AB253" s="26" t="s">
        <v>1299</v>
      </c>
      <c r="AC253" s="117"/>
      <c r="AD25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30.901282968881858</v>
      </c>
      <c r="AE25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70.948926942346503</v>
      </c>
      <c r="AF25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8.2009592889724487</v>
      </c>
      <c r="AG25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1.6023757891700761E-2</v>
      </c>
      <c r="AH253"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53"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53" s="10">
        <f t="shared" si="19"/>
        <v>110.06719295809251</v>
      </c>
      <c r="AK253" s="10">
        <f t="shared" si="21"/>
        <v>0</v>
      </c>
      <c r="AL253" s="10">
        <f t="shared" si="20"/>
        <v>79.165909989210647</v>
      </c>
      <c r="AM253" s="6"/>
    </row>
    <row r="254" spans="1:39" ht="31.5" customHeight="1">
      <c r="A254" s="25" t="s">
        <v>231</v>
      </c>
      <c r="B254" s="25" t="s">
        <v>705</v>
      </c>
      <c r="C254" s="18" t="s">
        <v>705</v>
      </c>
      <c r="D254" s="18"/>
      <c r="E254" s="27"/>
      <c r="F254" s="26" t="s">
        <v>1213</v>
      </c>
      <c r="G254" s="28" t="s">
        <v>732</v>
      </c>
      <c r="H254" s="64" t="s">
        <v>6</v>
      </c>
      <c r="I254" s="66" t="s">
        <v>7</v>
      </c>
      <c r="J254" s="51" t="s">
        <v>10</v>
      </c>
      <c r="K254" s="109" t="s">
        <v>7</v>
      </c>
      <c r="L254" s="64" t="s">
        <v>1054</v>
      </c>
      <c r="M254" s="55">
        <v>2012</v>
      </c>
      <c r="N254" s="86">
        <v>2016</v>
      </c>
      <c r="O254" s="104">
        <v>883.45899999999995</v>
      </c>
      <c r="P254" s="29"/>
      <c r="Q254" s="257">
        <v>113.26900000000001</v>
      </c>
      <c r="R254" s="145">
        <v>200.708</v>
      </c>
      <c r="S254" s="145">
        <v>212.95599999999999</v>
      </c>
      <c r="T254" s="145">
        <v>151.65299999999999</v>
      </c>
      <c r="U254" s="145">
        <v>87.210999999999999</v>
      </c>
      <c r="V254" s="104"/>
      <c r="W254" s="119" t="s">
        <v>13</v>
      </c>
      <c r="X254" s="120" t="s">
        <v>19</v>
      </c>
      <c r="Y254" s="88" t="s">
        <v>28</v>
      </c>
      <c r="Z254" s="301" t="s">
        <v>1066</v>
      </c>
      <c r="AA254" s="17" t="s">
        <v>708</v>
      </c>
      <c r="AB254" s="26" t="s">
        <v>1300</v>
      </c>
      <c r="AC254" s="117" t="s">
        <v>10</v>
      </c>
      <c r="AD25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120.99966884233692</v>
      </c>
      <c r="AE25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214.40642659516507</v>
      </c>
      <c r="AF25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227.49035903900179</v>
      </c>
      <c r="AG25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162.00339703667302</v>
      </c>
      <c r="AH254"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93.163196632874346</v>
      </c>
      <c r="AI254"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54" s="10">
        <f t="shared" si="19"/>
        <v>724.89985151317683</v>
      </c>
      <c r="AK254" s="10">
        <f t="shared" si="21"/>
        <v>93.163196632874346</v>
      </c>
      <c r="AL254" s="10">
        <f t="shared" si="20"/>
        <v>697.06337930371433</v>
      </c>
      <c r="AM254" s="6"/>
    </row>
    <row r="255" spans="1:39" ht="31.5" customHeight="1">
      <c r="A255" s="25" t="s">
        <v>231</v>
      </c>
      <c r="B255" s="25" t="s">
        <v>705</v>
      </c>
      <c r="C255" s="18" t="s">
        <v>705</v>
      </c>
      <c r="D255" s="18"/>
      <c r="E255" s="27"/>
      <c r="F255" s="26" t="s">
        <v>733</v>
      </c>
      <c r="G255" s="28" t="s">
        <v>734</v>
      </c>
      <c r="H255" s="64" t="s">
        <v>23</v>
      </c>
      <c r="I255" s="66" t="s">
        <v>7</v>
      </c>
      <c r="J255" s="51" t="s">
        <v>10</v>
      </c>
      <c r="K255" s="109" t="s">
        <v>7</v>
      </c>
      <c r="L255" s="64" t="s">
        <v>444</v>
      </c>
      <c r="M255" s="55" t="s">
        <v>27</v>
      </c>
      <c r="N255" s="86">
        <v>2022</v>
      </c>
      <c r="O255" s="104">
        <v>672.35199999999998</v>
      </c>
      <c r="P255" s="29"/>
      <c r="Q255" s="257">
        <v>8.6999999999999994E-2</v>
      </c>
      <c r="R255" s="145"/>
      <c r="S255" s="145"/>
      <c r="T255" s="145"/>
      <c r="U255" s="145">
        <v>201.70599999999999</v>
      </c>
      <c r="V255" s="145">
        <v>470.64699999999999</v>
      </c>
      <c r="W255" s="119" t="s">
        <v>13</v>
      </c>
      <c r="X255" s="120" t="s">
        <v>19</v>
      </c>
      <c r="Y255" s="88" t="s">
        <v>28</v>
      </c>
      <c r="Z255" s="301" t="s">
        <v>1066</v>
      </c>
      <c r="AA255" s="17" t="s">
        <v>708</v>
      </c>
      <c r="AB255" s="26" t="s">
        <v>1301</v>
      </c>
      <c r="AC255" s="117"/>
      <c r="AD25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9.2937795771864409E-2</v>
      </c>
      <c r="AE25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5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5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55"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215.47254062022623</v>
      </c>
      <c r="AI255"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502.76890536368586</v>
      </c>
      <c r="AJ255" s="10">
        <f t="shared" si="19"/>
        <v>9.2937795771864409E-2</v>
      </c>
      <c r="AK255" s="10">
        <f t="shared" si="21"/>
        <v>718.24144598391206</v>
      </c>
      <c r="AL255" s="10">
        <f t="shared" si="20"/>
        <v>718.24144598391206</v>
      </c>
      <c r="AM255" s="6"/>
    </row>
    <row r="256" spans="1:39" ht="31.5" customHeight="1">
      <c r="A256" s="6" t="s">
        <v>231</v>
      </c>
      <c r="B256" s="6" t="s">
        <v>361</v>
      </c>
      <c r="C256" s="6" t="s">
        <v>361</v>
      </c>
      <c r="D256" s="6" t="s">
        <v>886</v>
      </c>
      <c r="E256" s="27"/>
      <c r="G256" s="6" t="s">
        <v>887</v>
      </c>
      <c r="H256" s="64" t="s">
        <v>6</v>
      </c>
      <c r="I256" s="1" t="s">
        <v>7</v>
      </c>
      <c r="J256" s="51" t="s">
        <v>10</v>
      </c>
      <c r="K256" s="1" t="s">
        <v>7</v>
      </c>
      <c r="L256" s="64" t="s">
        <v>1000</v>
      </c>
      <c r="M256" s="55" t="s">
        <v>9</v>
      </c>
      <c r="N256" s="75" t="s">
        <v>27</v>
      </c>
      <c r="O256" s="145">
        <v>248</v>
      </c>
      <c r="P256" s="131"/>
      <c r="Q256" s="258">
        <v>34</v>
      </c>
      <c r="R256" s="145">
        <v>34</v>
      </c>
      <c r="S256" s="145">
        <v>31</v>
      </c>
      <c r="T256" s="132">
        <v>35</v>
      </c>
      <c r="U256" s="132">
        <f>116+32</f>
        <v>148</v>
      </c>
      <c r="V256" s="48"/>
      <c r="W256" s="1" t="s">
        <v>13</v>
      </c>
      <c r="X256" s="51" t="s">
        <v>19</v>
      </c>
      <c r="Y256" s="88" t="s">
        <v>28</v>
      </c>
      <c r="Z256" s="302" t="s">
        <v>1066</v>
      </c>
      <c r="AA256" s="35" t="s">
        <v>888</v>
      </c>
      <c r="AB256" s="21" t="s">
        <v>999</v>
      </c>
      <c r="AC256" s="117"/>
      <c r="AD25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36.320517887855061</v>
      </c>
      <c r="AE25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36.320517887855061</v>
      </c>
      <c r="AF25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33.115766309514903</v>
      </c>
      <c r="AG25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37.388768413968442</v>
      </c>
      <c r="AH256"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158.10107786478085</v>
      </c>
      <c r="AI256"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56" s="32">
        <f t="shared" si="19"/>
        <v>143.14557049919347</v>
      </c>
      <c r="AK256" s="32">
        <f t="shared" si="21"/>
        <v>158.10107786478085</v>
      </c>
      <c r="AL256" s="32">
        <f t="shared" si="20"/>
        <v>264.92613047611928</v>
      </c>
      <c r="AM256" s="6"/>
    </row>
    <row r="257" spans="1:39" ht="31.5" customHeight="1">
      <c r="A257" s="6" t="s">
        <v>231</v>
      </c>
      <c r="B257" s="6" t="s">
        <v>361</v>
      </c>
      <c r="C257" s="6" t="s">
        <v>361</v>
      </c>
      <c r="D257" s="6" t="s">
        <v>363</v>
      </c>
      <c r="E257" s="27"/>
      <c r="G257" s="6" t="s">
        <v>364</v>
      </c>
      <c r="H257" s="64" t="s">
        <v>6</v>
      </c>
      <c r="I257" s="1" t="s">
        <v>7</v>
      </c>
      <c r="J257" s="51" t="s">
        <v>10</v>
      </c>
      <c r="K257" s="1" t="s">
        <v>7</v>
      </c>
      <c r="L257" s="64" t="s">
        <v>1000</v>
      </c>
      <c r="M257" s="55" t="s">
        <v>9</v>
      </c>
      <c r="N257" s="75" t="s">
        <v>27</v>
      </c>
      <c r="O257" s="145">
        <v>90</v>
      </c>
      <c r="P257" s="131"/>
      <c r="Q257" s="258">
        <v>7</v>
      </c>
      <c r="R257" s="145">
        <v>7</v>
      </c>
      <c r="S257" s="145">
        <v>13</v>
      </c>
      <c r="T257" s="132">
        <v>18</v>
      </c>
      <c r="U257" s="132">
        <f>39+13</f>
        <v>52</v>
      </c>
      <c r="V257" s="48"/>
      <c r="W257" s="1" t="s">
        <v>13</v>
      </c>
      <c r="X257" s="51" t="s">
        <v>19</v>
      </c>
      <c r="Y257" s="88" t="s">
        <v>28</v>
      </c>
      <c r="Z257" s="302" t="s">
        <v>1066</v>
      </c>
      <c r="AA257" s="35" t="s">
        <v>888</v>
      </c>
      <c r="AB257" s="21" t="s">
        <v>998</v>
      </c>
      <c r="AC257" s="117"/>
      <c r="AD25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7.4777536827936881</v>
      </c>
      <c r="AE25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7.4777536827936881</v>
      </c>
      <c r="AF25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13.887256839473993</v>
      </c>
      <c r="AG25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19.228509470040912</v>
      </c>
      <c r="AH257"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55.549027357895973</v>
      </c>
      <c r="AI257"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57" s="32">
        <f t="shared" si="19"/>
        <v>48.071273675102283</v>
      </c>
      <c r="AK257" s="32">
        <f t="shared" si="21"/>
        <v>55.549027357895973</v>
      </c>
      <c r="AL257" s="32">
        <f t="shared" si="20"/>
        <v>96.142547350204566</v>
      </c>
      <c r="AM257" s="6"/>
    </row>
    <row r="258" spans="1:39" ht="31.5" customHeight="1">
      <c r="A258" s="6" t="s">
        <v>231</v>
      </c>
      <c r="B258" s="6" t="s">
        <v>361</v>
      </c>
      <c r="C258" s="6" t="s">
        <v>361</v>
      </c>
      <c r="D258" s="6" t="s">
        <v>365</v>
      </c>
      <c r="E258" s="27"/>
      <c r="G258" s="6" t="s">
        <v>366</v>
      </c>
      <c r="H258" s="64" t="s">
        <v>6</v>
      </c>
      <c r="I258" s="1" t="s">
        <v>7</v>
      </c>
      <c r="J258" s="51" t="s">
        <v>10</v>
      </c>
      <c r="K258" s="1" t="s">
        <v>7</v>
      </c>
      <c r="L258" s="64" t="s">
        <v>1000</v>
      </c>
      <c r="M258" s="55" t="s">
        <v>9</v>
      </c>
      <c r="N258" s="75" t="s">
        <v>27</v>
      </c>
      <c r="O258" s="145">
        <v>167</v>
      </c>
      <c r="P258" s="131"/>
      <c r="Q258" s="258">
        <v>26</v>
      </c>
      <c r="R258" s="145">
        <v>19</v>
      </c>
      <c r="S258" s="145">
        <v>20</v>
      </c>
      <c r="T258" s="132">
        <v>20</v>
      </c>
      <c r="U258" s="132">
        <f>87+21</f>
        <v>108</v>
      </c>
      <c r="V258" s="48"/>
      <c r="W258" s="1" t="s">
        <v>13</v>
      </c>
      <c r="X258" s="51" t="s">
        <v>19</v>
      </c>
      <c r="Y258" s="88" t="s">
        <v>28</v>
      </c>
      <c r="Z258" s="302" t="s">
        <v>1066</v>
      </c>
      <c r="AA258" s="35" t="s">
        <v>888</v>
      </c>
      <c r="AB258" s="21" t="s">
        <v>998</v>
      </c>
      <c r="AC258" s="117"/>
      <c r="AD25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27.774513678947987</v>
      </c>
      <c r="AE25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20.296759996154297</v>
      </c>
      <c r="AF25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21.365010522267681</v>
      </c>
      <c r="AG25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21.365010522267681</v>
      </c>
      <c r="AH258"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115.37105682024549</v>
      </c>
      <c r="AI258"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58" s="32">
        <f t="shared" ref="AJ258:AJ321" si="24">SUM(AD258:AG258)</f>
        <v>90.801294719637639</v>
      </c>
      <c r="AK258" s="32">
        <f t="shared" si="21"/>
        <v>115.37105682024549</v>
      </c>
      <c r="AL258" s="32">
        <f t="shared" ref="AL258:AL321" si="25">+AJ258+AK258-AD258</f>
        <v>178.39783786093514</v>
      </c>
      <c r="AM258" s="6"/>
    </row>
    <row r="259" spans="1:39" ht="31.5" customHeight="1">
      <c r="A259" s="6" t="s">
        <v>231</v>
      </c>
      <c r="B259" s="6" t="s">
        <v>361</v>
      </c>
      <c r="C259" s="6" t="s">
        <v>361</v>
      </c>
      <c r="D259" s="6" t="s">
        <v>367</v>
      </c>
      <c r="E259" s="27"/>
      <c r="G259" s="6" t="s">
        <v>362</v>
      </c>
      <c r="H259" s="64" t="s">
        <v>6</v>
      </c>
      <c r="I259" s="1" t="s">
        <v>7</v>
      </c>
      <c r="J259" s="51" t="s">
        <v>10</v>
      </c>
      <c r="K259" s="1" t="s">
        <v>7</v>
      </c>
      <c r="L259" s="64" t="s">
        <v>1000</v>
      </c>
      <c r="M259" s="55" t="s">
        <v>9</v>
      </c>
      <c r="N259" s="75" t="s">
        <v>27</v>
      </c>
      <c r="O259" s="145">
        <v>3256</v>
      </c>
      <c r="P259" s="131"/>
      <c r="Q259" s="258">
        <v>459</v>
      </c>
      <c r="R259" s="145">
        <v>399</v>
      </c>
      <c r="S259" s="145">
        <v>399</v>
      </c>
      <c r="T259" s="132">
        <v>407</v>
      </c>
      <c r="U259" s="132">
        <v>2051</v>
      </c>
      <c r="V259" s="48"/>
      <c r="W259" s="1" t="s">
        <v>13</v>
      </c>
      <c r="X259" s="51" t="s">
        <v>19</v>
      </c>
      <c r="Y259" s="88" t="s">
        <v>28</v>
      </c>
      <c r="Z259" s="302" t="s">
        <v>1066</v>
      </c>
      <c r="AA259" s="35" t="s">
        <v>888</v>
      </c>
      <c r="AB259" s="21" t="s">
        <v>998</v>
      </c>
      <c r="AC259" s="117"/>
      <c r="AD25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490.32699148604331</v>
      </c>
      <c r="AE25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426.23195991924024</v>
      </c>
      <c r="AF25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426.23195991924024</v>
      </c>
      <c r="AG25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434.77796412814729</v>
      </c>
      <c r="AH259"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2190.9818290585508</v>
      </c>
      <c r="AI259"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59" s="32">
        <f t="shared" si="24"/>
        <v>1777.5688754526709</v>
      </c>
      <c r="AK259" s="32">
        <f t="shared" si="21"/>
        <v>2190.9818290585508</v>
      </c>
      <c r="AL259" s="32">
        <f t="shared" si="25"/>
        <v>3478.2237130251783</v>
      </c>
      <c r="AM259" s="6"/>
    </row>
    <row r="260" spans="1:39" ht="31.5" customHeight="1">
      <c r="A260" s="6" t="s">
        <v>231</v>
      </c>
      <c r="B260" s="6" t="s">
        <v>361</v>
      </c>
      <c r="C260" s="6" t="s">
        <v>361</v>
      </c>
      <c r="D260" s="6" t="s">
        <v>368</v>
      </c>
      <c r="E260" s="27"/>
      <c r="G260" s="6" t="s">
        <v>369</v>
      </c>
      <c r="H260" s="64" t="s">
        <v>6</v>
      </c>
      <c r="I260" s="1" t="s">
        <v>7</v>
      </c>
      <c r="J260" s="51" t="s">
        <v>10</v>
      </c>
      <c r="K260" s="1" t="s">
        <v>7</v>
      </c>
      <c r="L260" s="64" t="s">
        <v>1000</v>
      </c>
      <c r="M260" s="55" t="s">
        <v>9</v>
      </c>
      <c r="N260" s="75" t="s">
        <v>27</v>
      </c>
      <c r="O260" s="48">
        <v>28</v>
      </c>
      <c r="P260" s="14"/>
      <c r="Q260" s="258">
        <v>6</v>
      </c>
      <c r="R260" s="48">
        <v>12</v>
      </c>
      <c r="S260" s="48">
        <v>10</v>
      </c>
      <c r="T260" s="132"/>
      <c r="U260" s="132"/>
      <c r="V260" s="48"/>
      <c r="W260" s="1" t="s">
        <v>13</v>
      </c>
      <c r="X260" s="51" t="s">
        <v>19</v>
      </c>
      <c r="Y260" s="88" t="s">
        <v>28</v>
      </c>
      <c r="Z260" s="302" t="s">
        <v>1066</v>
      </c>
      <c r="AA260" s="6" t="s">
        <v>417</v>
      </c>
      <c r="AB260" s="15"/>
      <c r="AC260" s="117"/>
      <c r="AD26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6.4095031566803042</v>
      </c>
      <c r="AE26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12.819006313360608</v>
      </c>
      <c r="AF26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10.682505261133841</v>
      </c>
      <c r="AG26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60"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60"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60" s="32">
        <f t="shared" si="24"/>
        <v>29.911014731174753</v>
      </c>
      <c r="AK260" s="32">
        <f t="shared" si="21"/>
        <v>0</v>
      </c>
      <c r="AL260" s="32">
        <f t="shared" si="25"/>
        <v>23.501511574494447</v>
      </c>
      <c r="AM260" s="6"/>
    </row>
    <row r="261" spans="1:39" ht="31.5" customHeight="1">
      <c r="A261" s="13" t="s">
        <v>231</v>
      </c>
      <c r="B261" s="13" t="s">
        <v>370</v>
      </c>
      <c r="C261" s="18" t="s">
        <v>370</v>
      </c>
      <c r="D261" s="19" t="s">
        <v>1173</v>
      </c>
      <c r="E261" s="27"/>
      <c r="F261" s="19"/>
      <c r="G261" s="6" t="s">
        <v>371</v>
      </c>
      <c r="H261" s="64" t="s">
        <v>26</v>
      </c>
      <c r="I261" s="67" t="s">
        <v>7</v>
      </c>
      <c r="J261" s="51" t="s">
        <v>10</v>
      </c>
      <c r="K261" s="110" t="s">
        <v>7</v>
      </c>
      <c r="L261" s="64" t="s">
        <v>1000</v>
      </c>
      <c r="M261" s="76">
        <v>2013</v>
      </c>
      <c r="N261" s="76">
        <v>2021</v>
      </c>
      <c r="O261" s="48">
        <f>SUM(NIP_Pipeline[[#This Row],[2013/14 (£m)]:[2020/21 and Beyond  (£m)]])</f>
        <v>985.92000000000007</v>
      </c>
      <c r="P261" s="14"/>
      <c r="Q261" s="258"/>
      <c r="R261" s="48">
        <v>127.42</v>
      </c>
      <c r="S261" s="48">
        <v>123.08</v>
      </c>
      <c r="T261" s="48">
        <v>122.51</v>
      </c>
      <c r="U261" s="48">
        <v>491.21</v>
      </c>
      <c r="V261" s="104">
        <v>121.7</v>
      </c>
      <c r="W261" s="1" t="s">
        <v>13</v>
      </c>
      <c r="X261" s="51" t="s">
        <v>19</v>
      </c>
      <c r="Y261" s="88" t="s">
        <v>28</v>
      </c>
      <c r="Z261" s="302" t="s">
        <v>1180</v>
      </c>
      <c r="AA261" s="20" t="s">
        <v>1181</v>
      </c>
      <c r="AB261" s="245" t="s">
        <v>1182</v>
      </c>
      <c r="AC261" s="117"/>
      <c r="AD26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6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136.1164820373674</v>
      </c>
      <c r="AF26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131.48027475403532</v>
      </c>
      <c r="AG26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130.87137195415067</v>
      </c>
      <c r="AH261"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524.7353409321554</v>
      </c>
      <c r="AI261"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130.00608902799885</v>
      </c>
      <c r="AJ261" s="32">
        <f t="shared" si="24"/>
        <v>398.46812874555343</v>
      </c>
      <c r="AK261" s="32">
        <f t="shared" si="21"/>
        <v>654.74142996015428</v>
      </c>
      <c r="AL261" s="32">
        <f t="shared" si="25"/>
        <v>1053.2095587057077</v>
      </c>
      <c r="AM261" s="6"/>
    </row>
    <row r="262" spans="1:39" ht="31.5" customHeight="1">
      <c r="A262" s="13" t="s">
        <v>231</v>
      </c>
      <c r="B262" s="13" t="s">
        <v>370</v>
      </c>
      <c r="C262" s="18" t="s">
        <v>370</v>
      </c>
      <c r="D262" s="19" t="s">
        <v>1172</v>
      </c>
      <c r="E262" s="27"/>
      <c r="F262" s="19"/>
      <c r="G262" s="6" t="s">
        <v>372</v>
      </c>
      <c r="H262" s="64" t="s">
        <v>24</v>
      </c>
      <c r="I262" s="67" t="s">
        <v>7</v>
      </c>
      <c r="J262" s="51" t="s">
        <v>10</v>
      </c>
      <c r="K262" s="110" t="s">
        <v>7</v>
      </c>
      <c r="L262" s="64" t="s">
        <v>1000</v>
      </c>
      <c r="M262" s="76">
        <v>2013</v>
      </c>
      <c r="N262" s="76">
        <v>2021</v>
      </c>
      <c r="O262" s="48">
        <f>SUM(NIP_Pipeline[[#This Row],[2013/14 (£m)]:[2020/21 and Beyond  (£m)]])</f>
        <v>1027.27</v>
      </c>
      <c r="P262" s="14"/>
      <c r="Q262" s="258"/>
      <c r="R262" s="48">
        <v>123.88</v>
      </c>
      <c r="S262" s="48">
        <v>123.89</v>
      </c>
      <c r="T262" s="48">
        <v>129.6</v>
      </c>
      <c r="U262" s="48">
        <v>517.75</v>
      </c>
      <c r="V262" s="104">
        <v>132.15</v>
      </c>
      <c r="W262" s="1" t="s">
        <v>13</v>
      </c>
      <c r="X262" s="51" t="s">
        <v>19</v>
      </c>
      <c r="Y262" s="88" t="s">
        <v>28</v>
      </c>
      <c r="Z262" s="302" t="s">
        <v>1180</v>
      </c>
      <c r="AA262" s="20" t="s">
        <v>1181</v>
      </c>
      <c r="AB262" s="245" t="s">
        <v>1182</v>
      </c>
      <c r="AC262" s="117"/>
      <c r="AD26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6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132.33487517492603</v>
      </c>
      <c r="AF26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132.34555768018714</v>
      </c>
      <c r="AG26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138.44526818429458</v>
      </c>
      <c r="AH262"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553.08670989520465</v>
      </c>
      <c r="AI262"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141.16930702588371</v>
      </c>
      <c r="AJ262" s="32">
        <f t="shared" si="24"/>
        <v>403.12570103940777</v>
      </c>
      <c r="AK262" s="32">
        <f t="shared" si="21"/>
        <v>694.2560169210883</v>
      </c>
      <c r="AL262" s="32">
        <f t="shared" si="25"/>
        <v>1097.3817179604962</v>
      </c>
      <c r="AM262" s="6"/>
    </row>
    <row r="263" spans="1:39" ht="31.5" customHeight="1">
      <c r="A263" s="13" t="s">
        <v>231</v>
      </c>
      <c r="B263" s="13" t="s">
        <v>370</v>
      </c>
      <c r="C263" s="18" t="s">
        <v>370</v>
      </c>
      <c r="D263" s="19" t="s">
        <v>1174</v>
      </c>
      <c r="E263" s="27"/>
      <c r="F263" s="19"/>
      <c r="G263" s="6" t="s">
        <v>373</v>
      </c>
      <c r="H263" s="64" t="s">
        <v>21</v>
      </c>
      <c r="I263" s="67" t="s">
        <v>7</v>
      </c>
      <c r="J263" s="51" t="s">
        <v>10</v>
      </c>
      <c r="K263" s="110" t="s">
        <v>7</v>
      </c>
      <c r="L263" s="64" t="s">
        <v>1000</v>
      </c>
      <c r="M263" s="76">
        <v>2013</v>
      </c>
      <c r="N263" s="76">
        <v>2021</v>
      </c>
      <c r="O263" s="48">
        <f>SUM(NIP_Pipeline[[#This Row],[2013/14 (£m)]:[2020/21 and Beyond  (£m)]])</f>
        <v>759.32000000000016</v>
      </c>
      <c r="P263" s="14"/>
      <c r="Q263" s="258"/>
      <c r="R263" s="48">
        <v>97.74</v>
      </c>
      <c r="S263" s="48">
        <v>94.82</v>
      </c>
      <c r="T263" s="48">
        <v>93.9</v>
      </c>
      <c r="U263" s="48">
        <v>379.43</v>
      </c>
      <c r="V263" s="104">
        <v>93.43</v>
      </c>
      <c r="W263" s="1" t="s">
        <v>13</v>
      </c>
      <c r="X263" s="51" t="s">
        <v>19</v>
      </c>
      <c r="Y263" s="88" t="s">
        <v>28</v>
      </c>
      <c r="Z263" s="302" t="s">
        <v>1180</v>
      </c>
      <c r="AA263" s="20" t="s">
        <v>1181</v>
      </c>
      <c r="AB263" s="245" t="s">
        <v>1182</v>
      </c>
      <c r="AC263" s="117"/>
      <c r="AD26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6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104.41080642232215</v>
      </c>
      <c r="AF26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101.29151488607107</v>
      </c>
      <c r="AG26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100.30872440204676</v>
      </c>
      <c r="AH263"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405.3262971232013</v>
      </c>
      <c r="AI263"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99.806646654773473</v>
      </c>
      <c r="AJ263" s="32">
        <f t="shared" si="24"/>
        <v>306.01104571043999</v>
      </c>
      <c r="AK263" s="32">
        <f t="shared" si="21"/>
        <v>505.13294377797479</v>
      </c>
      <c r="AL263" s="32">
        <f t="shared" si="25"/>
        <v>811.14398948841472</v>
      </c>
      <c r="AM263" s="6"/>
    </row>
    <row r="264" spans="1:39" ht="31.5" customHeight="1">
      <c r="A264" s="13" t="s">
        <v>231</v>
      </c>
      <c r="B264" s="13" t="s">
        <v>370</v>
      </c>
      <c r="C264" s="18" t="s">
        <v>370</v>
      </c>
      <c r="D264" s="19" t="s">
        <v>1175</v>
      </c>
      <c r="E264" s="27"/>
      <c r="F264" s="19"/>
      <c r="G264" s="6" t="s">
        <v>374</v>
      </c>
      <c r="H264" s="64" t="s">
        <v>18</v>
      </c>
      <c r="I264" s="67" t="s">
        <v>7</v>
      </c>
      <c r="J264" s="51" t="s">
        <v>10</v>
      </c>
      <c r="K264" s="110" t="s">
        <v>7</v>
      </c>
      <c r="L264" s="64" t="s">
        <v>1000</v>
      </c>
      <c r="M264" s="76">
        <v>2013</v>
      </c>
      <c r="N264" s="76">
        <v>2021</v>
      </c>
      <c r="O264" s="48">
        <f>SUM(NIP_Pipeline[[#This Row],[2013/14 (£m)]:[2020/21 and Beyond  (£m)]])</f>
        <v>598.07999999999993</v>
      </c>
      <c r="P264" s="14"/>
      <c r="Q264" s="258"/>
      <c r="R264" s="48">
        <v>75.44</v>
      </c>
      <c r="S264" s="48">
        <v>75.7</v>
      </c>
      <c r="T264" s="48">
        <v>74.38</v>
      </c>
      <c r="U264" s="48">
        <v>298.79000000000002</v>
      </c>
      <c r="V264" s="104">
        <v>73.77</v>
      </c>
      <c r="W264" s="1" t="s">
        <v>13</v>
      </c>
      <c r="X264" s="51" t="s">
        <v>19</v>
      </c>
      <c r="Y264" s="88" t="s">
        <v>28</v>
      </c>
      <c r="Z264" s="302" t="s">
        <v>1180</v>
      </c>
      <c r="AA264" s="20" t="s">
        <v>1181</v>
      </c>
      <c r="AB264" s="245" t="s">
        <v>1182</v>
      </c>
      <c r="AC264" s="117"/>
      <c r="AD26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6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80.588819689993699</v>
      </c>
      <c r="AF26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80.866564826783176</v>
      </c>
      <c r="AG26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79.456474132313502</v>
      </c>
      <c r="AH264"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319.18257469741809</v>
      </c>
      <c r="AI264"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78.804841311384337</v>
      </c>
      <c r="AJ264" s="32">
        <f t="shared" si="24"/>
        <v>240.91185864909036</v>
      </c>
      <c r="AK264" s="32">
        <f t="shared" si="21"/>
        <v>397.98741600880243</v>
      </c>
      <c r="AL264" s="32">
        <f t="shared" si="25"/>
        <v>638.89927465789276</v>
      </c>
      <c r="AM264" s="6"/>
    </row>
    <row r="265" spans="1:39" ht="31.5" customHeight="1">
      <c r="A265" s="13" t="s">
        <v>231</v>
      </c>
      <c r="B265" s="13" t="s">
        <v>370</v>
      </c>
      <c r="C265" s="18" t="s">
        <v>370</v>
      </c>
      <c r="D265" s="19" t="s">
        <v>1176</v>
      </c>
      <c r="E265" s="27"/>
      <c r="F265" s="19"/>
      <c r="G265" s="6" t="s">
        <v>375</v>
      </c>
      <c r="H265" s="64" t="s">
        <v>22</v>
      </c>
      <c r="I265" s="67" t="s">
        <v>7</v>
      </c>
      <c r="J265" s="51" t="s">
        <v>10</v>
      </c>
      <c r="K265" s="110" t="s">
        <v>7</v>
      </c>
      <c r="L265" s="64" t="s">
        <v>1000</v>
      </c>
      <c r="M265" s="76">
        <v>2013</v>
      </c>
      <c r="N265" s="76">
        <v>2021</v>
      </c>
      <c r="O265" s="48">
        <f>SUM(NIP_Pipeline[[#This Row],[2013/14 (£m)]:[2020/21 and Beyond  (£m)]])</f>
        <v>861.36</v>
      </c>
      <c r="P265" s="14"/>
      <c r="Q265" s="258"/>
      <c r="R265" s="48">
        <v>107.11</v>
      </c>
      <c r="S265" s="48">
        <v>109.79</v>
      </c>
      <c r="T265" s="48">
        <v>110.39</v>
      </c>
      <c r="U265" s="48">
        <v>427.93</v>
      </c>
      <c r="V265" s="104">
        <v>106.14</v>
      </c>
      <c r="W265" s="1" t="s">
        <v>13</v>
      </c>
      <c r="X265" s="51" t="s">
        <v>19</v>
      </c>
      <c r="Y265" s="88" t="s">
        <v>28</v>
      </c>
      <c r="Z265" s="302" t="s">
        <v>1180</v>
      </c>
      <c r="AA265" s="20" t="s">
        <v>1181</v>
      </c>
      <c r="AB265" s="245" t="s">
        <v>1182</v>
      </c>
      <c r="AC265" s="117"/>
      <c r="AD26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6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114.42031385200457</v>
      </c>
      <c r="AF26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117.28322526198843</v>
      </c>
      <c r="AG26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117.92417557765647</v>
      </c>
      <c r="AH265"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457.13644763970046</v>
      </c>
      <c r="AI265"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113.38411084167458</v>
      </c>
      <c r="AJ265" s="32">
        <f t="shared" si="24"/>
        <v>349.62771469164949</v>
      </c>
      <c r="AK265" s="32">
        <f t="shared" si="21"/>
        <v>570.52055848137502</v>
      </c>
      <c r="AL265" s="32">
        <f t="shared" si="25"/>
        <v>920.14827317302456</v>
      </c>
      <c r="AM265" s="6"/>
    </row>
    <row r="266" spans="1:39" ht="31.5" customHeight="1">
      <c r="A266" s="13" t="s">
        <v>231</v>
      </c>
      <c r="B266" s="13" t="s">
        <v>370</v>
      </c>
      <c r="C266" s="18" t="s">
        <v>370</v>
      </c>
      <c r="D266" s="19" t="s">
        <v>1177</v>
      </c>
      <c r="E266" s="27"/>
      <c r="F266" s="19"/>
      <c r="G266" s="6" t="s">
        <v>376</v>
      </c>
      <c r="H266" s="64" t="s">
        <v>17</v>
      </c>
      <c r="I266" s="67" t="s">
        <v>7</v>
      </c>
      <c r="J266" s="51" t="s">
        <v>10</v>
      </c>
      <c r="K266" s="110" t="s">
        <v>7</v>
      </c>
      <c r="L266" s="64" t="s">
        <v>1000</v>
      </c>
      <c r="M266" s="76">
        <v>2013</v>
      </c>
      <c r="N266" s="76">
        <v>2021</v>
      </c>
      <c r="O266" s="48">
        <f>SUM(NIP_Pipeline[[#This Row],[2013/14 (£m)]:[2020/21 and Beyond  (£m)]])</f>
        <v>658.41000000000008</v>
      </c>
      <c r="P266" s="14"/>
      <c r="Q266" s="258"/>
      <c r="R266" s="48">
        <v>84.44</v>
      </c>
      <c r="S266" s="48">
        <v>81.92</v>
      </c>
      <c r="T266" s="48">
        <v>80.05</v>
      </c>
      <c r="U266" s="48">
        <v>332.04</v>
      </c>
      <c r="V266" s="104">
        <v>79.959999999999994</v>
      </c>
      <c r="W266" s="1" t="s">
        <v>13</v>
      </c>
      <c r="X266" s="51" t="s">
        <v>19</v>
      </c>
      <c r="Y266" s="88" t="s">
        <v>28</v>
      </c>
      <c r="Z266" s="302" t="s">
        <v>1180</v>
      </c>
      <c r="AA266" s="20" t="s">
        <v>1181</v>
      </c>
      <c r="AB266" s="245" t="s">
        <v>1182</v>
      </c>
      <c r="AC266" s="117"/>
      <c r="AD26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6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90.203074425014151</v>
      </c>
      <c r="AF26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87.51108309920842</v>
      </c>
      <c r="AG26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85.513454615376389</v>
      </c>
      <c r="AH266"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354.70190469068802</v>
      </c>
      <c r="AI266"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85.417312068026177</v>
      </c>
      <c r="AJ266" s="32">
        <f t="shared" si="24"/>
        <v>263.22761213959893</v>
      </c>
      <c r="AK266" s="32">
        <f t="shared" si="21"/>
        <v>440.11921675871417</v>
      </c>
      <c r="AL266" s="32">
        <f t="shared" si="25"/>
        <v>703.34682889831311</v>
      </c>
      <c r="AM266" s="6"/>
    </row>
    <row r="267" spans="1:39" ht="31.5" customHeight="1">
      <c r="A267" s="13" t="s">
        <v>231</v>
      </c>
      <c r="B267" s="13" t="s">
        <v>370</v>
      </c>
      <c r="C267" s="18" t="s">
        <v>370</v>
      </c>
      <c r="D267" s="19" t="s">
        <v>1178</v>
      </c>
      <c r="E267" s="27"/>
      <c r="F267" s="19"/>
      <c r="G267" s="6" t="s">
        <v>377</v>
      </c>
      <c r="H267" s="64" t="s">
        <v>17</v>
      </c>
      <c r="I267" s="67" t="s">
        <v>7</v>
      </c>
      <c r="J267" s="51" t="s">
        <v>10</v>
      </c>
      <c r="K267" s="110" t="s">
        <v>7</v>
      </c>
      <c r="L267" s="64" t="s">
        <v>1000</v>
      </c>
      <c r="M267" s="76">
        <v>2013</v>
      </c>
      <c r="N267" s="76">
        <v>2021</v>
      </c>
      <c r="O267" s="48">
        <f>SUM(NIP_Pipeline[[#This Row],[2013/14 (£m)]:[2020/21 and Beyond  (£m)]])</f>
        <v>1442.56</v>
      </c>
      <c r="P267" s="14"/>
      <c r="Q267" s="258"/>
      <c r="R267" s="48">
        <v>185.7</v>
      </c>
      <c r="S267" s="48">
        <v>178.22</v>
      </c>
      <c r="T267" s="48">
        <v>176.98</v>
      </c>
      <c r="U267" s="48">
        <v>723.78</v>
      </c>
      <c r="V267" s="104">
        <v>177.88</v>
      </c>
      <c r="W267" s="1" t="s">
        <v>13</v>
      </c>
      <c r="X267" s="51" t="s">
        <v>19</v>
      </c>
      <c r="Y267" s="88" t="s">
        <v>28</v>
      </c>
      <c r="Z267" s="302" t="s">
        <v>1180</v>
      </c>
      <c r="AA267" s="20" t="s">
        <v>1181</v>
      </c>
      <c r="AB267" s="245" t="s">
        <v>1182</v>
      </c>
      <c r="AC267" s="117"/>
      <c r="AD26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6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198.37412269925542</v>
      </c>
      <c r="AF26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190.3836087639273</v>
      </c>
      <c r="AG26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189.05897811154671</v>
      </c>
      <c r="AH267"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773.17836579034508</v>
      </c>
      <c r="AI267"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190.02040358504877</v>
      </c>
      <c r="AJ267" s="32">
        <f t="shared" si="24"/>
        <v>577.81670957472943</v>
      </c>
      <c r="AK267" s="32">
        <f t="shared" si="21"/>
        <v>963.19876937539379</v>
      </c>
      <c r="AL267" s="32">
        <f t="shared" si="25"/>
        <v>1541.0154789501232</v>
      </c>
      <c r="AM267" s="6"/>
    </row>
    <row r="268" spans="1:39" ht="31.5" customHeight="1">
      <c r="A268" s="13" t="s">
        <v>231</v>
      </c>
      <c r="B268" s="13" t="s">
        <v>370</v>
      </c>
      <c r="C268" s="18" t="s">
        <v>370</v>
      </c>
      <c r="D268" s="19" t="s">
        <v>1179</v>
      </c>
      <c r="E268" s="27"/>
      <c r="F268" s="19"/>
      <c r="G268" s="6" t="s">
        <v>378</v>
      </c>
      <c r="H268" s="64" t="s">
        <v>23</v>
      </c>
      <c r="I268" s="67" t="s">
        <v>7</v>
      </c>
      <c r="J268" s="51" t="s">
        <v>10</v>
      </c>
      <c r="K268" s="110" t="s">
        <v>7</v>
      </c>
      <c r="L268" s="64" t="s">
        <v>1000</v>
      </c>
      <c r="M268" s="76">
        <v>2013</v>
      </c>
      <c r="N268" s="76">
        <v>2021</v>
      </c>
      <c r="O268" s="48">
        <f>SUM(NIP_Pipeline[[#This Row],[2013/14 (£m)]:[2020/21 and Beyond  (£m)]])</f>
        <v>849.13</v>
      </c>
      <c r="P268" s="14"/>
      <c r="Q268" s="258"/>
      <c r="R268" s="48">
        <v>108.34</v>
      </c>
      <c r="S268" s="48">
        <v>107.59</v>
      </c>
      <c r="T268" s="48">
        <v>106.45</v>
      </c>
      <c r="U268" s="48">
        <v>421.62</v>
      </c>
      <c r="V268" s="104">
        <v>105.13</v>
      </c>
      <c r="W268" s="1" t="s">
        <v>13</v>
      </c>
      <c r="X268" s="51" t="s">
        <v>19</v>
      </c>
      <c r="Y268" s="88" t="s">
        <v>28</v>
      </c>
      <c r="Z268" s="302" t="s">
        <v>1180</v>
      </c>
      <c r="AA268" s="20" t="s">
        <v>1181</v>
      </c>
      <c r="AB268" s="245" t="s">
        <v>1182</v>
      </c>
      <c r="AC268" s="117"/>
      <c r="AD26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6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115.73426199912403</v>
      </c>
      <c r="AF26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114.93307410453899</v>
      </c>
      <c r="AG26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113.71526850476974</v>
      </c>
      <c r="AH268"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450.39578681992498</v>
      </c>
      <c r="AI268"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112.30517781030007</v>
      </c>
      <c r="AJ268" s="32">
        <f t="shared" si="24"/>
        <v>344.38260460843276</v>
      </c>
      <c r="AK268" s="32">
        <f t="shared" si="21"/>
        <v>562.70096463022503</v>
      </c>
      <c r="AL268" s="32">
        <f t="shared" si="25"/>
        <v>907.08356923865779</v>
      </c>
      <c r="AM268" s="6"/>
    </row>
    <row r="269" spans="1:39" ht="31.5" customHeight="1">
      <c r="A269" s="6" t="s">
        <v>231</v>
      </c>
      <c r="B269" s="6" t="s">
        <v>409</v>
      </c>
      <c r="C269" s="6" t="s">
        <v>409</v>
      </c>
      <c r="D269" s="18"/>
      <c r="E269" s="27"/>
      <c r="F269" s="6" t="s">
        <v>416</v>
      </c>
      <c r="G269" s="6" t="s">
        <v>414</v>
      </c>
      <c r="H269" s="64" t="s">
        <v>23</v>
      </c>
      <c r="I269" s="1" t="s">
        <v>7</v>
      </c>
      <c r="J269" s="51" t="s">
        <v>8</v>
      </c>
      <c r="K269" s="1" t="s">
        <v>7</v>
      </c>
      <c r="L269" s="1" t="s">
        <v>932</v>
      </c>
      <c r="M269" s="85" t="s">
        <v>27</v>
      </c>
      <c r="N269" s="85" t="s">
        <v>27</v>
      </c>
      <c r="O269" s="142"/>
      <c r="P269" s="9"/>
      <c r="Q269" s="254"/>
      <c r="R269" s="142"/>
      <c r="S269" s="142"/>
      <c r="T269" s="142"/>
      <c r="U269" s="142"/>
      <c r="V269" s="142"/>
      <c r="W269" s="1" t="s">
        <v>13</v>
      </c>
      <c r="X269" s="1"/>
      <c r="Y269" s="1"/>
      <c r="Z269" s="316" t="s">
        <v>1064</v>
      </c>
      <c r="AA269" s="6" t="s">
        <v>1065</v>
      </c>
      <c r="AB269" s="6"/>
      <c r="AC269" s="117"/>
      <c r="AD26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6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6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6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69"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69"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69" s="10">
        <f t="shared" si="24"/>
        <v>0</v>
      </c>
      <c r="AK269" s="10">
        <f t="shared" ref="AK269:AK330" si="26">+SUM(AH269:AI269)</f>
        <v>0</v>
      </c>
      <c r="AL269" s="10">
        <f t="shared" si="25"/>
        <v>0</v>
      </c>
      <c r="AM269" s="6"/>
    </row>
    <row r="270" spans="1:39" ht="31.5" customHeight="1">
      <c r="A270" s="6" t="s">
        <v>231</v>
      </c>
      <c r="B270" s="6" t="s">
        <v>409</v>
      </c>
      <c r="C270" s="6" t="s">
        <v>409</v>
      </c>
      <c r="D270" s="18"/>
      <c r="E270" s="27"/>
      <c r="F270" s="6" t="s">
        <v>410</v>
      </c>
      <c r="G270" s="6" t="s">
        <v>411</v>
      </c>
      <c r="H270" s="64" t="s">
        <v>23</v>
      </c>
      <c r="I270" s="1" t="s">
        <v>7</v>
      </c>
      <c r="J270" s="51" t="s">
        <v>8</v>
      </c>
      <c r="K270" s="1" t="s">
        <v>7</v>
      </c>
      <c r="L270" s="1" t="s">
        <v>449</v>
      </c>
      <c r="M270" s="85" t="s">
        <v>27</v>
      </c>
      <c r="N270" s="85" t="s">
        <v>27</v>
      </c>
      <c r="O270" s="142"/>
      <c r="P270" s="9"/>
      <c r="Q270" s="254"/>
      <c r="R270" s="142"/>
      <c r="S270" s="142"/>
      <c r="T270" s="142"/>
      <c r="U270" s="142"/>
      <c r="V270" s="142"/>
      <c r="W270" s="1" t="s">
        <v>13</v>
      </c>
      <c r="X270" s="1"/>
      <c r="Y270" s="1"/>
      <c r="Z270" s="316" t="s">
        <v>1064</v>
      </c>
      <c r="AA270" s="6" t="s">
        <v>1065</v>
      </c>
      <c r="AB270" s="6"/>
      <c r="AC270" s="117"/>
      <c r="AD27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7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7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7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70"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70"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70" s="10">
        <f t="shared" si="24"/>
        <v>0</v>
      </c>
      <c r="AK270" s="10">
        <f t="shared" si="26"/>
        <v>0</v>
      </c>
      <c r="AL270" s="10">
        <f t="shared" si="25"/>
        <v>0</v>
      </c>
      <c r="AM270" s="6"/>
    </row>
    <row r="271" spans="1:39" ht="31.5" customHeight="1">
      <c r="A271" s="6" t="s">
        <v>231</v>
      </c>
      <c r="B271" s="6" t="s">
        <v>409</v>
      </c>
      <c r="C271" s="6" t="s">
        <v>409</v>
      </c>
      <c r="D271" s="18"/>
      <c r="E271" s="27"/>
      <c r="F271" s="6" t="s">
        <v>412</v>
      </c>
      <c r="G271" s="6" t="s">
        <v>411</v>
      </c>
      <c r="H271" s="64" t="s">
        <v>25</v>
      </c>
      <c r="I271" s="1" t="s">
        <v>7</v>
      </c>
      <c r="J271" s="51" t="s">
        <v>8</v>
      </c>
      <c r="K271" s="1" t="s">
        <v>7</v>
      </c>
      <c r="L271" s="1" t="s">
        <v>444</v>
      </c>
      <c r="M271" s="85" t="s">
        <v>27</v>
      </c>
      <c r="N271" s="85" t="s">
        <v>27</v>
      </c>
      <c r="O271" s="142"/>
      <c r="P271" s="9"/>
      <c r="Q271" s="254"/>
      <c r="R271" s="142"/>
      <c r="S271" s="142"/>
      <c r="T271" s="142"/>
      <c r="U271" s="142"/>
      <c r="V271" s="142"/>
      <c r="W271" s="1" t="s">
        <v>13</v>
      </c>
      <c r="X271" s="1"/>
      <c r="Y271" s="1"/>
      <c r="Z271" s="316" t="s">
        <v>1064</v>
      </c>
      <c r="AA271" s="6" t="s">
        <v>1065</v>
      </c>
      <c r="AB271" s="6"/>
      <c r="AC271" s="117"/>
      <c r="AD27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7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7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7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71"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71"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71" s="10">
        <f t="shared" si="24"/>
        <v>0</v>
      </c>
      <c r="AK271" s="10">
        <f t="shared" si="26"/>
        <v>0</v>
      </c>
      <c r="AL271" s="10">
        <f t="shared" si="25"/>
        <v>0</v>
      </c>
      <c r="AM271" s="6"/>
    </row>
    <row r="272" spans="1:39" ht="31.5" customHeight="1">
      <c r="A272" s="6" t="s">
        <v>231</v>
      </c>
      <c r="B272" s="6" t="s">
        <v>409</v>
      </c>
      <c r="C272" s="6" t="s">
        <v>409</v>
      </c>
      <c r="D272" s="18"/>
      <c r="E272" s="27"/>
      <c r="F272" s="6" t="s">
        <v>413</v>
      </c>
      <c r="G272" s="6" t="s">
        <v>414</v>
      </c>
      <c r="H272" s="64" t="s">
        <v>22</v>
      </c>
      <c r="I272" s="1" t="s">
        <v>7</v>
      </c>
      <c r="J272" s="51" t="s">
        <v>8</v>
      </c>
      <c r="K272" s="1" t="s">
        <v>7</v>
      </c>
      <c r="L272" s="1" t="s">
        <v>932</v>
      </c>
      <c r="M272" s="85" t="s">
        <v>27</v>
      </c>
      <c r="N272" s="85">
        <v>2016</v>
      </c>
      <c r="O272" s="142"/>
      <c r="P272" s="9"/>
      <c r="Q272" s="254"/>
      <c r="R272" s="142"/>
      <c r="S272" s="142"/>
      <c r="T272" s="142"/>
      <c r="U272" s="142"/>
      <c r="V272" s="142"/>
      <c r="W272" s="1" t="s">
        <v>13</v>
      </c>
      <c r="X272" s="1"/>
      <c r="Y272" s="1"/>
      <c r="Z272" s="316" t="s">
        <v>1064</v>
      </c>
      <c r="AA272" s="6" t="s">
        <v>1065</v>
      </c>
      <c r="AB272" s="6"/>
      <c r="AC272" s="117"/>
      <c r="AD27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7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7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7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72"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72"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72" s="10">
        <f t="shared" si="24"/>
        <v>0</v>
      </c>
      <c r="AK272" s="10">
        <f t="shared" si="26"/>
        <v>0</v>
      </c>
      <c r="AL272" s="10">
        <f t="shared" si="25"/>
        <v>0</v>
      </c>
      <c r="AM272" s="6"/>
    </row>
    <row r="273" spans="1:39" ht="31.5" customHeight="1">
      <c r="A273" s="6" t="s">
        <v>231</v>
      </c>
      <c r="B273" s="6" t="s">
        <v>409</v>
      </c>
      <c r="C273" s="6" t="s">
        <v>409</v>
      </c>
      <c r="D273" s="18"/>
      <c r="E273" s="27"/>
      <c r="F273" s="6" t="s">
        <v>415</v>
      </c>
      <c r="G273" s="6" t="s">
        <v>414</v>
      </c>
      <c r="H273" s="64" t="s">
        <v>21</v>
      </c>
      <c r="I273" s="1" t="s">
        <v>7</v>
      </c>
      <c r="J273" s="51" t="s">
        <v>8</v>
      </c>
      <c r="K273" s="1" t="s">
        <v>7</v>
      </c>
      <c r="L273" s="1" t="s">
        <v>932</v>
      </c>
      <c r="M273" s="85" t="s">
        <v>27</v>
      </c>
      <c r="N273" s="85" t="s">
        <v>27</v>
      </c>
      <c r="O273" s="142"/>
      <c r="P273" s="9"/>
      <c r="Q273" s="254"/>
      <c r="R273" s="142"/>
      <c r="S273" s="142"/>
      <c r="T273" s="142"/>
      <c r="U273" s="142"/>
      <c r="V273" s="142"/>
      <c r="W273" s="1" t="s">
        <v>13</v>
      </c>
      <c r="X273" s="1"/>
      <c r="Y273" s="1"/>
      <c r="Z273" s="316" t="s">
        <v>1064</v>
      </c>
      <c r="AA273" s="6" t="s">
        <v>1065</v>
      </c>
      <c r="AB273" s="6"/>
      <c r="AC273" s="117"/>
      <c r="AD27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7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7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7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73"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73"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73" s="10">
        <f t="shared" si="24"/>
        <v>0</v>
      </c>
      <c r="AK273" s="10">
        <f t="shared" si="26"/>
        <v>0</v>
      </c>
      <c r="AL273" s="10">
        <f t="shared" si="25"/>
        <v>0</v>
      </c>
      <c r="AM273" s="6"/>
    </row>
    <row r="274" spans="1:39" ht="31.5" customHeight="1">
      <c r="A274" s="13" t="s">
        <v>231</v>
      </c>
      <c r="B274" s="13" t="s">
        <v>379</v>
      </c>
      <c r="C274" s="18" t="s">
        <v>379</v>
      </c>
      <c r="D274" s="18"/>
      <c r="E274" s="27"/>
      <c r="F274" s="19" t="s">
        <v>380</v>
      </c>
      <c r="G274" s="36" t="s">
        <v>379</v>
      </c>
      <c r="H274" s="64" t="s">
        <v>14</v>
      </c>
      <c r="I274" s="67" t="s">
        <v>7</v>
      </c>
      <c r="J274" s="51" t="s">
        <v>8</v>
      </c>
      <c r="K274" s="110" t="s">
        <v>7</v>
      </c>
      <c r="L274" s="1" t="s">
        <v>932</v>
      </c>
      <c r="M274" s="85" t="s">
        <v>27</v>
      </c>
      <c r="N274" s="85" t="s">
        <v>27</v>
      </c>
      <c r="O274" s="48" t="s">
        <v>381</v>
      </c>
      <c r="P274" s="14"/>
      <c r="Q274" s="258"/>
      <c r="R274" s="48"/>
      <c r="S274" s="48"/>
      <c r="T274" s="142"/>
      <c r="U274" s="142"/>
      <c r="V274" s="48"/>
      <c r="W274" s="1" t="s">
        <v>13</v>
      </c>
      <c r="X274" s="51" t="s">
        <v>12</v>
      </c>
      <c r="Y274" s="88"/>
      <c r="Z274" s="316" t="s">
        <v>1064</v>
      </c>
      <c r="AA274" s="6" t="s">
        <v>1065</v>
      </c>
      <c r="AB274" s="19" t="s">
        <v>418</v>
      </c>
      <c r="AC274" s="117"/>
      <c r="AD27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7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7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7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74"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74"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74" s="10">
        <f t="shared" si="24"/>
        <v>0</v>
      </c>
      <c r="AK274" s="10">
        <f t="shared" si="26"/>
        <v>0</v>
      </c>
      <c r="AL274" s="10">
        <f t="shared" si="25"/>
        <v>0</v>
      </c>
      <c r="AM274" s="6"/>
    </row>
    <row r="275" spans="1:39" ht="31.5" customHeight="1">
      <c r="A275" s="13" t="s">
        <v>231</v>
      </c>
      <c r="B275" s="13" t="s">
        <v>379</v>
      </c>
      <c r="C275" s="18" t="s">
        <v>379</v>
      </c>
      <c r="D275" s="18"/>
      <c r="E275" s="27"/>
      <c r="F275" s="19" t="s">
        <v>383</v>
      </c>
      <c r="G275" s="36" t="s">
        <v>379</v>
      </c>
      <c r="H275" s="64" t="s">
        <v>14</v>
      </c>
      <c r="I275" s="67" t="s">
        <v>7</v>
      </c>
      <c r="J275" s="51" t="s">
        <v>8</v>
      </c>
      <c r="K275" s="110" t="s">
        <v>7</v>
      </c>
      <c r="L275" s="51" t="s">
        <v>932</v>
      </c>
      <c r="M275" s="85" t="s">
        <v>27</v>
      </c>
      <c r="N275" s="85" t="s">
        <v>27</v>
      </c>
      <c r="O275" s="48" t="s">
        <v>381</v>
      </c>
      <c r="P275" s="14"/>
      <c r="Q275" s="258"/>
      <c r="R275" s="48"/>
      <c r="S275" s="48"/>
      <c r="T275" s="142"/>
      <c r="U275" s="142"/>
      <c r="V275" s="48"/>
      <c r="W275" s="1" t="s">
        <v>13</v>
      </c>
      <c r="X275" s="51" t="s">
        <v>12</v>
      </c>
      <c r="Y275" s="88"/>
      <c r="Z275" s="316" t="s">
        <v>1064</v>
      </c>
      <c r="AA275" s="6" t="s">
        <v>1065</v>
      </c>
      <c r="AB275" s="19" t="s">
        <v>419</v>
      </c>
      <c r="AC275" s="117"/>
      <c r="AD27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7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7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7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75"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75"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75" s="10">
        <f t="shared" si="24"/>
        <v>0</v>
      </c>
      <c r="AK275" s="10">
        <f t="shared" si="26"/>
        <v>0</v>
      </c>
      <c r="AL275" s="10">
        <f t="shared" si="25"/>
        <v>0</v>
      </c>
      <c r="AM275" s="6"/>
    </row>
    <row r="276" spans="1:39" ht="31.5" customHeight="1">
      <c r="A276" s="13" t="s">
        <v>231</v>
      </c>
      <c r="B276" s="13" t="s">
        <v>379</v>
      </c>
      <c r="C276" s="18" t="s">
        <v>379</v>
      </c>
      <c r="D276" s="18"/>
      <c r="E276" s="27"/>
      <c r="F276" s="19" t="s">
        <v>384</v>
      </c>
      <c r="G276" s="36" t="s">
        <v>379</v>
      </c>
      <c r="H276" s="64" t="s">
        <v>382</v>
      </c>
      <c r="I276" s="67" t="s">
        <v>7</v>
      </c>
      <c r="J276" s="51" t="s">
        <v>8</v>
      </c>
      <c r="K276" s="110" t="s">
        <v>7</v>
      </c>
      <c r="L276" s="51" t="s">
        <v>932</v>
      </c>
      <c r="M276" s="85" t="s">
        <v>27</v>
      </c>
      <c r="N276" s="85" t="s">
        <v>27</v>
      </c>
      <c r="O276" s="48" t="s">
        <v>381</v>
      </c>
      <c r="P276" s="14"/>
      <c r="Q276" s="258"/>
      <c r="R276" s="48"/>
      <c r="S276" s="48"/>
      <c r="T276" s="142"/>
      <c r="U276" s="142"/>
      <c r="V276" s="48"/>
      <c r="W276" s="1" t="s">
        <v>13</v>
      </c>
      <c r="X276" s="51" t="s">
        <v>12</v>
      </c>
      <c r="Y276" s="88"/>
      <c r="Z276" s="316" t="s">
        <v>1064</v>
      </c>
      <c r="AA276" s="6" t="s">
        <v>1065</v>
      </c>
      <c r="AB276" s="19" t="s">
        <v>420</v>
      </c>
      <c r="AC276" s="117"/>
      <c r="AD27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7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7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7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76"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76"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76" s="10">
        <f t="shared" si="24"/>
        <v>0</v>
      </c>
      <c r="AK276" s="10">
        <f t="shared" si="26"/>
        <v>0</v>
      </c>
      <c r="AL276" s="10">
        <f t="shared" si="25"/>
        <v>0</v>
      </c>
      <c r="AM276" s="6"/>
    </row>
    <row r="277" spans="1:39" ht="31.5" customHeight="1">
      <c r="A277" s="13" t="s">
        <v>231</v>
      </c>
      <c r="B277" s="13" t="s">
        <v>379</v>
      </c>
      <c r="C277" s="18" t="s">
        <v>379</v>
      </c>
      <c r="D277" s="18"/>
      <c r="E277" s="27"/>
      <c r="F277" s="19" t="s">
        <v>385</v>
      </c>
      <c r="G277" s="36" t="s">
        <v>379</v>
      </c>
      <c r="H277" s="64" t="s">
        <v>382</v>
      </c>
      <c r="I277" s="67" t="s">
        <v>7</v>
      </c>
      <c r="J277" s="51" t="s">
        <v>8</v>
      </c>
      <c r="K277" s="110" t="s">
        <v>7</v>
      </c>
      <c r="L277" s="51" t="s">
        <v>444</v>
      </c>
      <c r="M277" s="85" t="s">
        <v>27</v>
      </c>
      <c r="N277" s="85" t="s">
        <v>27</v>
      </c>
      <c r="O277" s="48" t="s">
        <v>381</v>
      </c>
      <c r="P277" s="14"/>
      <c r="Q277" s="258"/>
      <c r="R277" s="48"/>
      <c r="S277" s="48"/>
      <c r="T277" s="142"/>
      <c r="U277" s="142"/>
      <c r="V277" s="48"/>
      <c r="W277" s="1" t="s">
        <v>13</v>
      </c>
      <c r="X277" s="51" t="s">
        <v>12</v>
      </c>
      <c r="Y277" s="88"/>
      <c r="Z277" s="316" t="s">
        <v>1064</v>
      </c>
      <c r="AA277" s="6" t="s">
        <v>1065</v>
      </c>
      <c r="AB277" s="19" t="s">
        <v>421</v>
      </c>
      <c r="AC277" s="117"/>
      <c r="AD27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7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7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7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77"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77"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77" s="10">
        <f t="shared" si="24"/>
        <v>0</v>
      </c>
      <c r="AK277" s="10">
        <f t="shared" si="26"/>
        <v>0</v>
      </c>
      <c r="AL277" s="10">
        <f t="shared" si="25"/>
        <v>0</v>
      </c>
      <c r="AM277" s="6"/>
    </row>
    <row r="278" spans="1:39" ht="31.5" customHeight="1">
      <c r="A278" s="13" t="s">
        <v>231</v>
      </c>
      <c r="B278" s="13" t="s">
        <v>379</v>
      </c>
      <c r="C278" s="18" t="s">
        <v>379</v>
      </c>
      <c r="D278" s="18"/>
      <c r="E278" s="27"/>
      <c r="F278" s="19" t="s">
        <v>386</v>
      </c>
      <c r="G278" s="36" t="s">
        <v>379</v>
      </c>
      <c r="H278" s="64" t="s">
        <v>382</v>
      </c>
      <c r="I278" s="67" t="s">
        <v>7</v>
      </c>
      <c r="J278" s="51" t="s">
        <v>8</v>
      </c>
      <c r="K278" s="110" t="s">
        <v>7</v>
      </c>
      <c r="L278" s="51" t="s">
        <v>932</v>
      </c>
      <c r="M278" s="85" t="s">
        <v>27</v>
      </c>
      <c r="N278" s="85" t="s">
        <v>27</v>
      </c>
      <c r="O278" s="48" t="s">
        <v>381</v>
      </c>
      <c r="P278" s="14"/>
      <c r="Q278" s="258"/>
      <c r="R278" s="48"/>
      <c r="S278" s="48"/>
      <c r="T278" s="142"/>
      <c r="U278" s="142"/>
      <c r="V278" s="48"/>
      <c r="W278" s="1" t="s">
        <v>13</v>
      </c>
      <c r="X278" s="51" t="s">
        <v>12</v>
      </c>
      <c r="Y278" s="88"/>
      <c r="Z278" s="316" t="s">
        <v>1064</v>
      </c>
      <c r="AA278" s="6" t="s">
        <v>1065</v>
      </c>
      <c r="AB278" s="19" t="s">
        <v>422</v>
      </c>
      <c r="AC278" s="117"/>
      <c r="AD27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7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7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7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78"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78"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78" s="10">
        <f t="shared" si="24"/>
        <v>0</v>
      </c>
      <c r="AK278" s="10">
        <f t="shared" si="26"/>
        <v>0</v>
      </c>
      <c r="AL278" s="10">
        <f t="shared" si="25"/>
        <v>0</v>
      </c>
      <c r="AM278" s="6"/>
    </row>
    <row r="279" spans="1:39" ht="31.5" customHeight="1">
      <c r="A279" s="13" t="s">
        <v>231</v>
      </c>
      <c r="B279" s="13" t="s">
        <v>379</v>
      </c>
      <c r="C279" s="18" t="s">
        <v>379</v>
      </c>
      <c r="D279" s="18"/>
      <c r="E279" s="27"/>
      <c r="F279" s="19" t="s">
        <v>387</v>
      </c>
      <c r="G279" s="36" t="s">
        <v>379</v>
      </c>
      <c r="H279" s="64" t="s">
        <v>14</v>
      </c>
      <c r="I279" s="67" t="s">
        <v>7</v>
      </c>
      <c r="J279" s="51" t="s">
        <v>8</v>
      </c>
      <c r="K279" s="110" t="s">
        <v>7</v>
      </c>
      <c r="L279" s="51" t="s">
        <v>932</v>
      </c>
      <c r="M279" s="85" t="s">
        <v>27</v>
      </c>
      <c r="N279" s="85" t="s">
        <v>27</v>
      </c>
      <c r="O279" s="48" t="s">
        <v>381</v>
      </c>
      <c r="P279" s="14"/>
      <c r="Q279" s="258"/>
      <c r="R279" s="48"/>
      <c r="S279" s="48"/>
      <c r="T279" s="142"/>
      <c r="U279" s="142"/>
      <c r="V279" s="48"/>
      <c r="W279" s="1" t="s">
        <v>13</v>
      </c>
      <c r="X279" s="51" t="s">
        <v>12</v>
      </c>
      <c r="Y279" s="88"/>
      <c r="Z279" s="316" t="s">
        <v>1064</v>
      </c>
      <c r="AA279" s="6" t="s">
        <v>1065</v>
      </c>
      <c r="AB279" s="19" t="s">
        <v>423</v>
      </c>
      <c r="AC279" s="117"/>
      <c r="AD27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7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7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7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79"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79"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79" s="10">
        <f t="shared" si="24"/>
        <v>0</v>
      </c>
      <c r="AK279" s="10">
        <f t="shared" si="26"/>
        <v>0</v>
      </c>
      <c r="AL279" s="10">
        <f t="shared" si="25"/>
        <v>0</v>
      </c>
      <c r="AM279" s="6"/>
    </row>
    <row r="280" spans="1:39" ht="31.5" customHeight="1">
      <c r="A280" s="13" t="s">
        <v>231</v>
      </c>
      <c r="B280" s="13" t="s">
        <v>379</v>
      </c>
      <c r="C280" s="18" t="s">
        <v>379</v>
      </c>
      <c r="D280" s="18"/>
      <c r="E280" s="27"/>
      <c r="F280" s="19" t="s">
        <v>388</v>
      </c>
      <c r="G280" s="36" t="s">
        <v>379</v>
      </c>
      <c r="H280" s="64" t="s">
        <v>21</v>
      </c>
      <c r="I280" s="67" t="s">
        <v>7</v>
      </c>
      <c r="J280" s="51" t="s">
        <v>8</v>
      </c>
      <c r="K280" s="110" t="s">
        <v>7</v>
      </c>
      <c r="L280" s="51" t="s">
        <v>1054</v>
      </c>
      <c r="M280" s="85" t="s">
        <v>9</v>
      </c>
      <c r="N280" s="85">
        <v>2014</v>
      </c>
      <c r="O280" s="48" t="s">
        <v>381</v>
      </c>
      <c r="P280" s="14"/>
      <c r="Q280" s="258"/>
      <c r="R280" s="48"/>
      <c r="S280" s="48"/>
      <c r="T280" s="142"/>
      <c r="U280" s="142"/>
      <c r="V280" s="48"/>
      <c r="W280" s="1" t="s">
        <v>13</v>
      </c>
      <c r="X280" s="51" t="s">
        <v>12</v>
      </c>
      <c r="Y280" s="88"/>
      <c r="Z280" s="316" t="s">
        <v>1064</v>
      </c>
      <c r="AA280" s="6" t="s">
        <v>1065</v>
      </c>
      <c r="AB280" s="19" t="s">
        <v>424</v>
      </c>
      <c r="AC280" s="117"/>
      <c r="AD28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8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8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8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80"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80"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80" s="10">
        <f t="shared" si="24"/>
        <v>0</v>
      </c>
      <c r="AK280" s="10">
        <f t="shared" si="26"/>
        <v>0</v>
      </c>
      <c r="AL280" s="10">
        <f t="shared" si="25"/>
        <v>0</v>
      </c>
      <c r="AM280" s="6"/>
    </row>
    <row r="281" spans="1:39" ht="31.5" customHeight="1">
      <c r="A281" s="13" t="s">
        <v>231</v>
      </c>
      <c r="B281" s="13" t="s">
        <v>379</v>
      </c>
      <c r="C281" s="18" t="s">
        <v>379</v>
      </c>
      <c r="D281" s="18"/>
      <c r="E281" s="27"/>
      <c r="F281" s="19" t="s">
        <v>394</v>
      </c>
      <c r="G281" s="36" t="s">
        <v>379</v>
      </c>
      <c r="H281" s="64" t="s">
        <v>395</v>
      </c>
      <c r="I281" s="67" t="s">
        <v>7</v>
      </c>
      <c r="J281" s="51" t="s">
        <v>8</v>
      </c>
      <c r="K281" s="110" t="s">
        <v>7</v>
      </c>
      <c r="L281" s="51" t="s">
        <v>932</v>
      </c>
      <c r="M281" s="85" t="s">
        <v>27</v>
      </c>
      <c r="N281" s="85" t="s">
        <v>27</v>
      </c>
      <c r="O281" s="48"/>
      <c r="P281" s="14"/>
      <c r="Q281" s="258"/>
      <c r="R281" s="48"/>
      <c r="S281" s="48"/>
      <c r="T281" s="142"/>
      <c r="U281" s="142"/>
      <c r="V281" s="48"/>
      <c r="W281" s="1" t="s">
        <v>13</v>
      </c>
      <c r="X281" s="51" t="s">
        <v>12</v>
      </c>
      <c r="Y281" s="88"/>
      <c r="Z281" s="316" t="s">
        <v>1064</v>
      </c>
      <c r="AA281" s="6" t="s">
        <v>1065</v>
      </c>
      <c r="AB281" s="19" t="s">
        <v>1283</v>
      </c>
      <c r="AC281" s="117"/>
      <c r="AD28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8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8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8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81"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81"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81" s="10">
        <f t="shared" si="24"/>
        <v>0</v>
      </c>
      <c r="AK281" s="10">
        <f t="shared" si="26"/>
        <v>0</v>
      </c>
      <c r="AL281" s="10">
        <f t="shared" si="25"/>
        <v>0</v>
      </c>
      <c r="AM281" s="6"/>
    </row>
    <row r="282" spans="1:39" ht="31.5" customHeight="1">
      <c r="A282" s="13" t="s">
        <v>231</v>
      </c>
      <c r="B282" s="13" t="s">
        <v>379</v>
      </c>
      <c r="C282" s="18" t="s">
        <v>379</v>
      </c>
      <c r="D282" s="18"/>
      <c r="E282" s="27"/>
      <c r="F282" s="19" t="s">
        <v>389</v>
      </c>
      <c r="G282" s="36" t="s">
        <v>379</v>
      </c>
      <c r="H282" s="64" t="s">
        <v>21</v>
      </c>
      <c r="I282" s="67" t="s">
        <v>7</v>
      </c>
      <c r="J282" s="51" t="s">
        <v>8</v>
      </c>
      <c r="K282" s="110" t="s">
        <v>7</v>
      </c>
      <c r="L282" s="51" t="s">
        <v>932</v>
      </c>
      <c r="M282" s="85" t="s">
        <v>27</v>
      </c>
      <c r="N282" s="85" t="s">
        <v>27</v>
      </c>
      <c r="O282" s="48" t="s">
        <v>381</v>
      </c>
      <c r="P282" s="14"/>
      <c r="Q282" s="258"/>
      <c r="R282" s="48"/>
      <c r="S282" s="48"/>
      <c r="T282" s="142"/>
      <c r="U282" s="142"/>
      <c r="V282" s="48"/>
      <c r="W282" s="1" t="s">
        <v>13</v>
      </c>
      <c r="X282" s="51" t="s">
        <v>12</v>
      </c>
      <c r="Y282" s="88"/>
      <c r="Z282" s="316" t="s">
        <v>1064</v>
      </c>
      <c r="AA282" s="6" t="s">
        <v>1065</v>
      </c>
      <c r="AB282" s="19" t="s">
        <v>419</v>
      </c>
      <c r="AC282" s="117"/>
      <c r="AD28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8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8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8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82"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82"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82" s="10">
        <f t="shared" si="24"/>
        <v>0</v>
      </c>
      <c r="AK282" s="10">
        <f t="shared" si="26"/>
        <v>0</v>
      </c>
      <c r="AL282" s="10">
        <f t="shared" si="25"/>
        <v>0</v>
      </c>
      <c r="AM282" s="6"/>
    </row>
    <row r="283" spans="1:39" ht="31.5" customHeight="1">
      <c r="A283" s="13" t="s">
        <v>231</v>
      </c>
      <c r="B283" s="13" t="s">
        <v>379</v>
      </c>
      <c r="C283" s="18" t="s">
        <v>379</v>
      </c>
      <c r="D283" s="18"/>
      <c r="E283" s="27"/>
      <c r="F283" s="19" t="s">
        <v>390</v>
      </c>
      <c r="G283" s="36" t="s">
        <v>379</v>
      </c>
      <c r="H283" s="64" t="s">
        <v>16</v>
      </c>
      <c r="I283" s="67" t="s">
        <v>7</v>
      </c>
      <c r="J283" s="51" t="s">
        <v>8</v>
      </c>
      <c r="K283" s="110" t="s">
        <v>7</v>
      </c>
      <c r="L283" s="51" t="s">
        <v>932</v>
      </c>
      <c r="M283" s="85" t="s">
        <v>27</v>
      </c>
      <c r="N283" s="85" t="s">
        <v>27</v>
      </c>
      <c r="O283" s="48" t="s">
        <v>381</v>
      </c>
      <c r="P283" s="14"/>
      <c r="Q283" s="258"/>
      <c r="R283" s="48"/>
      <c r="S283" s="48"/>
      <c r="T283" s="142"/>
      <c r="U283" s="142"/>
      <c r="V283" s="48"/>
      <c r="W283" s="1" t="s">
        <v>13</v>
      </c>
      <c r="X283" s="51" t="s">
        <v>12</v>
      </c>
      <c r="Y283" s="88"/>
      <c r="Z283" s="316" t="s">
        <v>1064</v>
      </c>
      <c r="AA283" s="6" t="s">
        <v>1065</v>
      </c>
      <c r="AB283" s="19" t="s">
        <v>425</v>
      </c>
      <c r="AC283" s="117"/>
      <c r="AD28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8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8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8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83"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83"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83" s="10">
        <f t="shared" si="24"/>
        <v>0</v>
      </c>
      <c r="AK283" s="10">
        <f t="shared" si="26"/>
        <v>0</v>
      </c>
      <c r="AL283" s="10">
        <f t="shared" si="25"/>
        <v>0</v>
      </c>
      <c r="AM283" s="6"/>
    </row>
    <row r="284" spans="1:39" ht="31.5" customHeight="1">
      <c r="A284" s="13" t="s">
        <v>231</v>
      </c>
      <c r="B284" s="13" t="s">
        <v>379</v>
      </c>
      <c r="C284" s="18" t="s">
        <v>379</v>
      </c>
      <c r="D284" s="18"/>
      <c r="E284" s="27"/>
      <c r="F284" s="19" t="s">
        <v>391</v>
      </c>
      <c r="G284" s="36" t="s">
        <v>379</v>
      </c>
      <c r="H284" s="64" t="s">
        <v>21</v>
      </c>
      <c r="I284" s="67" t="s">
        <v>7</v>
      </c>
      <c r="J284" s="51" t="s">
        <v>8</v>
      </c>
      <c r="K284" s="110" t="s">
        <v>7</v>
      </c>
      <c r="L284" s="51" t="s">
        <v>1032</v>
      </c>
      <c r="M284" s="85" t="s">
        <v>27</v>
      </c>
      <c r="N284" s="85" t="s">
        <v>27</v>
      </c>
      <c r="O284" s="48" t="s">
        <v>381</v>
      </c>
      <c r="P284" s="14"/>
      <c r="Q284" s="258"/>
      <c r="R284" s="48"/>
      <c r="S284" s="48"/>
      <c r="T284" s="142"/>
      <c r="U284" s="142"/>
      <c r="V284" s="48"/>
      <c r="W284" s="1" t="s">
        <v>13</v>
      </c>
      <c r="X284" s="51" t="s">
        <v>12</v>
      </c>
      <c r="Y284" s="88"/>
      <c r="Z284" s="316" t="s">
        <v>1064</v>
      </c>
      <c r="AA284" s="6" t="s">
        <v>1065</v>
      </c>
      <c r="AB284" s="19" t="s">
        <v>958</v>
      </c>
      <c r="AC284" s="117"/>
      <c r="AD28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8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8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8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84"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84"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84" s="10">
        <f t="shared" si="24"/>
        <v>0</v>
      </c>
      <c r="AK284" s="10">
        <f t="shared" si="26"/>
        <v>0</v>
      </c>
      <c r="AL284" s="10">
        <f t="shared" si="25"/>
        <v>0</v>
      </c>
      <c r="AM284" s="6"/>
    </row>
    <row r="285" spans="1:39" ht="31.5" customHeight="1">
      <c r="A285" s="13" t="s">
        <v>231</v>
      </c>
      <c r="B285" s="13" t="s">
        <v>379</v>
      </c>
      <c r="C285" s="18" t="s">
        <v>379</v>
      </c>
      <c r="D285" s="18"/>
      <c r="E285" s="27"/>
      <c r="F285" s="19" t="s">
        <v>392</v>
      </c>
      <c r="G285" s="36" t="s">
        <v>379</v>
      </c>
      <c r="H285" s="64" t="s">
        <v>20</v>
      </c>
      <c r="I285" s="67" t="s">
        <v>7</v>
      </c>
      <c r="J285" s="51" t="s">
        <v>8</v>
      </c>
      <c r="K285" s="110" t="s">
        <v>7</v>
      </c>
      <c r="L285" s="51" t="s">
        <v>932</v>
      </c>
      <c r="M285" s="85" t="s">
        <v>27</v>
      </c>
      <c r="N285" s="85" t="s">
        <v>27</v>
      </c>
      <c r="O285" s="48" t="s">
        <v>381</v>
      </c>
      <c r="P285" s="14"/>
      <c r="Q285" s="258"/>
      <c r="R285" s="48"/>
      <c r="S285" s="48"/>
      <c r="T285" s="142"/>
      <c r="U285" s="142"/>
      <c r="V285" s="48"/>
      <c r="W285" s="1" t="s">
        <v>13</v>
      </c>
      <c r="X285" s="51" t="s">
        <v>12</v>
      </c>
      <c r="Y285" s="88"/>
      <c r="Z285" s="316" t="s">
        <v>1064</v>
      </c>
      <c r="AA285" s="6" t="s">
        <v>1065</v>
      </c>
      <c r="AB285" s="19" t="s">
        <v>426</v>
      </c>
      <c r="AC285" s="117"/>
      <c r="AD28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8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8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8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85"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85"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85" s="10">
        <f t="shared" si="24"/>
        <v>0</v>
      </c>
      <c r="AK285" s="10">
        <f t="shared" si="26"/>
        <v>0</v>
      </c>
      <c r="AL285" s="10">
        <f t="shared" si="25"/>
        <v>0</v>
      </c>
      <c r="AM285" s="6"/>
    </row>
    <row r="286" spans="1:39" ht="31.5" customHeight="1">
      <c r="A286" s="13" t="s">
        <v>231</v>
      </c>
      <c r="B286" s="13" t="s">
        <v>379</v>
      </c>
      <c r="C286" s="18" t="s">
        <v>379</v>
      </c>
      <c r="D286" s="18"/>
      <c r="E286" s="27"/>
      <c r="F286" s="19" t="s">
        <v>393</v>
      </c>
      <c r="G286" s="36" t="s">
        <v>379</v>
      </c>
      <c r="H286" s="64" t="s">
        <v>21</v>
      </c>
      <c r="I286" s="67" t="s">
        <v>7</v>
      </c>
      <c r="J286" s="51" t="s">
        <v>8</v>
      </c>
      <c r="K286" s="110" t="s">
        <v>7</v>
      </c>
      <c r="L286" s="51" t="s">
        <v>1054</v>
      </c>
      <c r="M286" s="85" t="s">
        <v>9</v>
      </c>
      <c r="N286" s="85">
        <v>2014</v>
      </c>
      <c r="O286" s="48" t="s">
        <v>381</v>
      </c>
      <c r="P286" s="14"/>
      <c r="Q286" s="258"/>
      <c r="R286" s="48"/>
      <c r="S286" s="48"/>
      <c r="T286" s="142"/>
      <c r="U286" s="142"/>
      <c r="V286" s="48"/>
      <c r="W286" s="1" t="s">
        <v>13</v>
      </c>
      <c r="X286" s="51" t="s">
        <v>12</v>
      </c>
      <c r="Y286" s="88"/>
      <c r="Z286" s="316" t="s">
        <v>1064</v>
      </c>
      <c r="AA286" s="6" t="s">
        <v>1065</v>
      </c>
      <c r="AB286" s="19" t="s">
        <v>427</v>
      </c>
      <c r="AC286" s="117"/>
      <c r="AD28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8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8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8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86"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86"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86" s="10">
        <f t="shared" si="24"/>
        <v>0</v>
      </c>
      <c r="AK286" s="10">
        <f t="shared" si="26"/>
        <v>0</v>
      </c>
      <c r="AL286" s="10">
        <f t="shared" si="25"/>
        <v>0</v>
      </c>
      <c r="AM286" s="6"/>
    </row>
    <row r="287" spans="1:39" ht="31.5" customHeight="1">
      <c r="A287" s="13" t="s">
        <v>231</v>
      </c>
      <c r="B287" s="13" t="s">
        <v>379</v>
      </c>
      <c r="C287" s="18" t="s">
        <v>379</v>
      </c>
      <c r="D287" s="18"/>
      <c r="E287" s="27"/>
      <c r="F287" s="19" t="s">
        <v>396</v>
      </c>
      <c r="G287" s="36" t="s">
        <v>379</v>
      </c>
      <c r="H287" s="64" t="s">
        <v>14</v>
      </c>
      <c r="I287" s="67" t="s">
        <v>7</v>
      </c>
      <c r="J287" s="51" t="s">
        <v>8</v>
      </c>
      <c r="K287" s="110" t="s">
        <v>7</v>
      </c>
      <c r="L287" s="51" t="s">
        <v>932</v>
      </c>
      <c r="M287" s="85" t="s">
        <v>27</v>
      </c>
      <c r="N287" s="85" t="s">
        <v>27</v>
      </c>
      <c r="O287" s="48" t="s">
        <v>381</v>
      </c>
      <c r="P287" s="14"/>
      <c r="Q287" s="258"/>
      <c r="R287" s="48"/>
      <c r="S287" s="48"/>
      <c r="T287" s="142"/>
      <c r="U287" s="142"/>
      <c r="V287" s="48"/>
      <c r="W287" s="1" t="s">
        <v>13</v>
      </c>
      <c r="X287" s="51" t="s">
        <v>12</v>
      </c>
      <c r="Y287" s="88"/>
      <c r="Z287" s="316" t="s">
        <v>1064</v>
      </c>
      <c r="AA287" s="6" t="s">
        <v>1065</v>
      </c>
      <c r="AB287" s="19" t="s">
        <v>428</v>
      </c>
      <c r="AC287" s="117"/>
      <c r="AD28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8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8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8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87"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87"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87" s="10">
        <f t="shared" si="24"/>
        <v>0</v>
      </c>
      <c r="AK287" s="10">
        <f t="shared" si="26"/>
        <v>0</v>
      </c>
      <c r="AL287" s="10">
        <f t="shared" si="25"/>
        <v>0</v>
      </c>
      <c r="AM287" s="6"/>
    </row>
    <row r="288" spans="1:39" ht="31.5" customHeight="1">
      <c r="A288" s="6" t="s">
        <v>231</v>
      </c>
      <c r="B288" s="6" t="s">
        <v>397</v>
      </c>
      <c r="C288" s="6" t="s">
        <v>397</v>
      </c>
      <c r="D288" s="6" t="s">
        <v>398</v>
      </c>
      <c r="E288" s="27"/>
      <c r="G288" s="6" t="s">
        <v>399</v>
      </c>
      <c r="H288" s="64" t="s">
        <v>6</v>
      </c>
      <c r="I288" s="1" t="s">
        <v>7</v>
      </c>
      <c r="J288" s="51" t="s">
        <v>10</v>
      </c>
      <c r="K288" s="1" t="s">
        <v>7</v>
      </c>
      <c r="L288" s="51" t="s">
        <v>1000</v>
      </c>
      <c r="M288" s="85" t="s">
        <v>9</v>
      </c>
      <c r="N288" s="85" t="s">
        <v>27</v>
      </c>
      <c r="O288" s="48">
        <v>364</v>
      </c>
      <c r="P288" s="14"/>
      <c r="Q288" s="259"/>
      <c r="R288" s="132"/>
      <c r="S288" s="132">
        <v>8</v>
      </c>
      <c r="T288" s="132">
        <v>24</v>
      </c>
      <c r="U288" s="132">
        <f>270+34</f>
        <v>304</v>
      </c>
      <c r="V288" s="48">
        <v>28</v>
      </c>
      <c r="W288" s="1" t="s">
        <v>13</v>
      </c>
      <c r="X288" s="51" t="s">
        <v>19</v>
      </c>
      <c r="Y288" s="88" t="s">
        <v>28</v>
      </c>
      <c r="Z288" s="302" t="s">
        <v>1066</v>
      </c>
      <c r="AA288" s="6" t="s">
        <v>417</v>
      </c>
      <c r="AB288" s="15"/>
      <c r="AC288" s="117"/>
      <c r="AD28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8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8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8.5460042089070729</v>
      </c>
      <c r="AG28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25.638012626721217</v>
      </c>
      <c r="AH288"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324.74815993846875</v>
      </c>
      <c r="AI288"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29.911014731174753</v>
      </c>
      <c r="AJ288" s="32">
        <f t="shared" si="24"/>
        <v>34.184016835628292</v>
      </c>
      <c r="AK288" s="32">
        <f t="shared" si="26"/>
        <v>354.65917466964351</v>
      </c>
      <c r="AL288" s="32">
        <f t="shared" si="25"/>
        <v>388.84319150527182</v>
      </c>
      <c r="AM288" s="6"/>
    </row>
    <row r="289" spans="1:39" ht="31.5" customHeight="1">
      <c r="A289" s="6" t="s">
        <v>231</v>
      </c>
      <c r="B289" s="6" t="s">
        <v>397</v>
      </c>
      <c r="C289" s="6" t="s">
        <v>397</v>
      </c>
      <c r="D289" s="6" t="s">
        <v>400</v>
      </c>
      <c r="E289" s="27"/>
      <c r="G289" s="6" t="s">
        <v>401</v>
      </c>
      <c r="H289" s="64" t="s">
        <v>6</v>
      </c>
      <c r="I289" s="1" t="s">
        <v>7</v>
      </c>
      <c r="J289" s="51" t="s">
        <v>10</v>
      </c>
      <c r="K289" s="1" t="s">
        <v>7</v>
      </c>
      <c r="L289" s="51" t="s">
        <v>1000</v>
      </c>
      <c r="M289" s="85" t="s">
        <v>9</v>
      </c>
      <c r="N289" s="85" t="s">
        <v>27</v>
      </c>
      <c r="O289" s="132" t="s">
        <v>889</v>
      </c>
      <c r="P289" s="131"/>
      <c r="Q289" s="259">
        <v>1.6</v>
      </c>
      <c r="R289" s="132">
        <v>3.7</v>
      </c>
      <c r="S289" s="132">
        <v>7.4</v>
      </c>
      <c r="T289" s="132">
        <v>9.1</v>
      </c>
      <c r="U289" s="132">
        <f>259+15.8</f>
        <v>274.8</v>
      </c>
      <c r="V289" s="48"/>
      <c r="W289" s="1" t="s">
        <v>13</v>
      </c>
      <c r="X289" s="51" t="s">
        <v>19</v>
      </c>
      <c r="Y289" s="88" t="s">
        <v>28</v>
      </c>
      <c r="Z289" s="302" t="s">
        <v>1066</v>
      </c>
      <c r="AA289" s="6" t="s">
        <v>417</v>
      </c>
      <c r="AB289" s="15"/>
      <c r="AC289" s="117"/>
      <c r="AD28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1.7092008417814144</v>
      </c>
      <c r="AE28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3.9525269466195212</v>
      </c>
      <c r="AF28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7.9050538932390424</v>
      </c>
      <c r="AG28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9.7210797876317958</v>
      </c>
      <c r="AH289"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293.55524457595794</v>
      </c>
      <c r="AI289"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89" s="32">
        <f t="shared" si="24"/>
        <v>23.287861469271775</v>
      </c>
      <c r="AK289" s="32">
        <f t="shared" si="26"/>
        <v>293.55524457595794</v>
      </c>
      <c r="AL289" s="32">
        <f t="shared" si="25"/>
        <v>315.13390520344831</v>
      </c>
      <c r="AM289" s="6"/>
    </row>
    <row r="290" spans="1:39" ht="31.5" customHeight="1">
      <c r="A290" s="6" t="s">
        <v>231</v>
      </c>
      <c r="B290" s="6" t="s">
        <v>397</v>
      </c>
      <c r="C290" s="6" t="s">
        <v>397</v>
      </c>
      <c r="D290" s="6" t="s">
        <v>402</v>
      </c>
      <c r="E290" s="27"/>
      <c r="G290" s="6" t="s">
        <v>403</v>
      </c>
      <c r="H290" s="64" t="s">
        <v>6</v>
      </c>
      <c r="I290" s="1" t="s">
        <v>7</v>
      </c>
      <c r="J290" s="51" t="s">
        <v>10</v>
      </c>
      <c r="K290" s="1" t="s">
        <v>7</v>
      </c>
      <c r="L290" s="51" t="s">
        <v>1000</v>
      </c>
      <c r="M290" s="85" t="s">
        <v>9</v>
      </c>
      <c r="N290" s="76">
        <v>2014</v>
      </c>
      <c r="O290" s="48">
        <v>155</v>
      </c>
      <c r="P290" s="14"/>
      <c r="Q290" s="258">
        <v>39</v>
      </c>
      <c r="R290" s="48">
        <v>18</v>
      </c>
      <c r="S290" s="48">
        <v>5</v>
      </c>
      <c r="T290" s="132">
        <v>7</v>
      </c>
      <c r="U290" s="132">
        <f>109+16</f>
        <v>125</v>
      </c>
      <c r="V290" s="48"/>
      <c r="W290" s="1" t="s">
        <v>841</v>
      </c>
      <c r="X290" s="51" t="s">
        <v>19</v>
      </c>
      <c r="Y290" s="88" t="s">
        <v>28</v>
      </c>
      <c r="Z290" s="302" t="s">
        <v>1066</v>
      </c>
      <c r="AA290" s="6" t="s">
        <v>417</v>
      </c>
      <c r="AB290" s="15"/>
      <c r="AC290" s="117"/>
      <c r="AD29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41.661770518421982</v>
      </c>
      <c r="AE29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19.228509470040912</v>
      </c>
      <c r="AF29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5.3412526305669203</v>
      </c>
      <c r="AG29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7.4777536827936881</v>
      </c>
      <c r="AH290"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133.531315764173</v>
      </c>
      <c r="AI290"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90" s="32">
        <f t="shared" si="24"/>
        <v>73.709286301823511</v>
      </c>
      <c r="AK290" s="32">
        <f t="shared" si="26"/>
        <v>133.531315764173</v>
      </c>
      <c r="AL290" s="32">
        <f t="shared" si="25"/>
        <v>165.57883154757454</v>
      </c>
      <c r="AM290" s="6"/>
    </row>
    <row r="291" spans="1:39" ht="31.5" customHeight="1">
      <c r="A291" s="6" t="s">
        <v>231</v>
      </c>
      <c r="B291" s="6" t="s">
        <v>397</v>
      </c>
      <c r="C291" s="6" t="s">
        <v>397</v>
      </c>
      <c r="D291" s="6" t="s">
        <v>404</v>
      </c>
      <c r="E291" s="27"/>
      <c r="G291" s="6" t="s">
        <v>403</v>
      </c>
      <c r="H291" s="64" t="s">
        <v>6</v>
      </c>
      <c r="I291" s="1" t="s">
        <v>7</v>
      </c>
      <c r="J291" s="51" t="s">
        <v>10</v>
      </c>
      <c r="K291" s="1" t="s">
        <v>7</v>
      </c>
      <c r="L291" s="51" t="s">
        <v>444</v>
      </c>
      <c r="M291" s="85">
        <v>2015</v>
      </c>
      <c r="N291" s="85">
        <v>2019</v>
      </c>
      <c r="O291" s="48">
        <v>115</v>
      </c>
      <c r="P291" s="14"/>
      <c r="Q291" s="258"/>
      <c r="R291" s="48"/>
      <c r="S291" s="48"/>
      <c r="T291" s="132"/>
      <c r="U291" s="132">
        <v>115</v>
      </c>
      <c r="V291" s="48"/>
      <c r="W291" s="1" t="s">
        <v>13</v>
      </c>
      <c r="X291" s="51" t="s">
        <v>19</v>
      </c>
      <c r="Y291" s="88" t="s">
        <v>28</v>
      </c>
      <c r="Z291" s="302" t="s">
        <v>1066</v>
      </c>
      <c r="AA291" s="6" t="s">
        <v>417</v>
      </c>
      <c r="AB291" s="15"/>
      <c r="AC291" s="117"/>
      <c r="AD29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9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9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9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91"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122.84881050303916</v>
      </c>
      <c r="AI291"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91" s="32">
        <f t="shared" si="24"/>
        <v>0</v>
      </c>
      <c r="AK291" s="32">
        <f t="shared" si="26"/>
        <v>122.84881050303916</v>
      </c>
      <c r="AL291" s="32">
        <f t="shared" si="25"/>
        <v>122.84881050303916</v>
      </c>
      <c r="AM291" s="6"/>
    </row>
    <row r="292" spans="1:39" ht="31.5" customHeight="1">
      <c r="A292" s="6" t="s">
        <v>231</v>
      </c>
      <c r="B292" s="6" t="s">
        <v>397</v>
      </c>
      <c r="C292" s="6" t="s">
        <v>397</v>
      </c>
      <c r="D292" s="6" t="s">
        <v>405</v>
      </c>
      <c r="E292" s="27"/>
      <c r="G292" s="6" t="s">
        <v>403</v>
      </c>
      <c r="H292" s="64" t="s">
        <v>6</v>
      </c>
      <c r="I292" s="1" t="s">
        <v>7</v>
      </c>
      <c r="J292" s="51" t="s">
        <v>10</v>
      </c>
      <c r="K292" s="1" t="s">
        <v>7</v>
      </c>
      <c r="L292" s="51" t="s">
        <v>444</v>
      </c>
      <c r="M292" s="85" t="s">
        <v>27</v>
      </c>
      <c r="N292" s="85">
        <v>2023</v>
      </c>
      <c r="O292" s="48"/>
      <c r="P292" s="14"/>
      <c r="Q292" s="258"/>
      <c r="R292" s="48"/>
      <c r="S292" s="48"/>
      <c r="T292" s="132"/>
      <c r="U292" s="132"/>
      <c r="V292" s="48"/>
      <c r="W292" s="1" t="s">
        <v>13</v>
      </c>
      <c r="X292" s="51" t="s">
        <v>19</v>
      </c>
      <c r="Y292" s="88" t="s">
        <v>28</v>
      </c>
      <c r="Z292" s="302" t="s">
        <v>1066</v>
      </c>
      <c r="AA292" s="6" t="s">
        <v>417</v>
      </c>
      <c r="AB292" s="15"/>
      <c r="AC292" s="117"/>
      <c r="AD29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9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9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9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92"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92"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92" s="32">
        <f t="shared" si="24"/>
        <v>0</v>
      </c>
      <c r="AK292" s="32">
        <f t="shared" si="26"/>
        <v>0</v>
      </c>
      <c r="AL292" s="32">
        <f t="shared" si="25"/>
        <v>0</v>
      </c>
      <c r="AM292" s="6"/>
    </row>
    <row r="293" spans="1:39" ht="31.5" customHeight="1">
      <c r="A293" s="6" t="s">
        <v>231</v>
      </c>
      <c r="B293" s="6" t="s">
        <v>406</v>
      </c>
      <c r="C293" s="6" t="s">
        <v>406</v>
      </c>
      <c r="D293" s="6" t="s">
        <v>407</v>
      </c>
      <c r="E293" s="27"/>
      <c r="G293" s="6" t="s">
        <v>408</v>
      </c>
      <c r="H293" s="64" t="s">
        <v>6</v>
      </c>
      <c r="I293" s="1" t="s">
        <v>7</v>
      </c>
      <c r="J293" s="51" t="s">
        <v>10</v>
      </c>
      <c r="K293" s="1" t="s">
        <v>7</v>
      </c>
      <c r="L293" s="51" t="s">
        <v>1000</v>
      </c>
      <c r="M293" s="85" t="s">
        <v>27</v>
      </c>
      <c r="N293" s="85" t="s">
        <v>27</v>
      </c>
      <c r="O293" s="48">
        <v>543.66</v>
      </c>
      <c r="P293" s="14"/>
      <c r="Q293" s="258">
        <v>37</v>
      </c>
      <c r="R293" s="48">
        <v>4</v>
      </c>
      <c r="S293" s="48">
        <v>15</v>
      </c>
      <c r="T293" s="132">
        <v>19</v>
      </c>
      <c r="U293" s="132"/>
      <c r="V293" s="48"/>
      <c r="W293" s="1" t="s">
        <v>13</v>
      </c>
      <c r="X293" s="51" t="s">
        <v>19</v>
      </c>
      <c r="Y293" s="88" t="s">
        <v>28</v>
      </c>
      <c r="Z293" s="302" t="s">
        <v>1066</v>
      </c>
      <c r="AA293" s="235" t="s">
        <v>888</v>
      </c>
      <c r="AB293" s="15" t="s">
        <v>1044</v>
      </c>
      <c r="AC293" s="117"/>
      <c r="AD29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39.525269466195212</v>
      </c>
      <c r="AE29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4.2730021044535365</v>
      </c>
      <c r="AF29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16.023757891700761</v>
      </c>
      <c r="AG29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20.296759996154297</v>
      </c>
      <c r="AH293"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93"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93" s="32">
        <f t="shared" si="24"/>
        <v>80.118789458503812</v>
      </c>
      <c r="AK293" s="32">
        <f t="shared" si="26"/>
        <v>0</v>
      </c>
      <c r="AL293" s="32">
        <f t="shared" si="25"/>
        <v>40.5935199923086</v>
      </c>
      <c r="AM293" s="6"/>
    </row>
    <row r="294" spans="1:39" ht="31.5" customHeight="1">
      <c r="A294" s="21" t="s">
        <v>231</v>
      </c>
      <c r="B294" s="21" t="s">
        <v>629</v>
      </c>
      <c r="C294" s="21" t="s">
        <v>635</v>
      </c>
      <c r="D294" s="21"/>
      <c r="F294" s="21" t="s">
        <v>636</v>
      </c>
      <c r="G294" s="21" t="s">
        <v>634</v>
      </c>
      <c r="H294" s="108" t="s">
        <v>26</v>
      </c>
      <c r="I294" s="108" t="s">
        <v>15</v>
      </c>
      <c r="J294" s="108" t="s">
        <v>8</v>
      </c>
      <c r="K294" s="108" t="s">
        <v>15</v>
      </c>
      <c r="L294" s="1" t="s">
        <v>1054</v>
      </c>
      <c r="M294" s="55" t="s">
        <v>9</v>
      </c>
      <c r="N294" s="85">
        <v>2015</v>
      </c>
      <c r="O294" s="142">
        <v>33.700000000000003</v>
      </c>
      <c r="P294" s="127"/>
      <c r="Q294" s="254">
        <v>5.5</v>
      </c>
      <c r="R294" s="141">
        <v>13.5</v>
      </c>
      <c r="S294" s="141">
        <v>11.5</v>
      </c>
      <c r="T294" s="141">
        <v>2</v>
      </c>
      <c r="U294" s="141"/>
      <c r="V294" s="142"/>
      <c r="W294" s="1" t="s">
        <v>13</v>
      </c>
      <c r="X294" s="108" t="s">
        <v>12</v>
      </c>
      <c r="Y294" s="108"/>
      <c r="Z294" s="315" t="s">
        <v>670</v>
      </c>
      <c r="AA294" s="21" t="s">
        <v>669</v>
      </c>
      <c r="AB294" s="21" t="s">
        <v>1286</v>
      </c>
      <c r="AC294" s="117"/>
      <c r="AD29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5.5</v>
      </c>
      <c r="AE29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13.196480938416423</v>
      </c>
      <c r="AF29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11.031841732402055</v>
      </c>
      <c r="AG29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1.8846573387549421</v>
      </c>
      <c r="AH294"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94"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94" s="10">
        <f t="shared" si="24"/>
        <v>31.61298000957342</v>
      </c>
      <c r="AK294" s="10">
        <f t="shared" si="26"/>
        <v>0</v>
      </c>
      <c r="AL294" s="10">
        <f t="shared" si="25"/>
        <v>26.11298000957342</v>
      </c>
      <c r="AM294" s="6"/>
    </row>
    <row r="295" spans="1:39" ht="31.5" customHeight="1">
      <c r="A295" s="21" t="s">
        <v>231</v>
      </c>
      <c r="B295" s="21" t="s">
        <v>629</v>
      </c>
      <c r="C295" s="21" t="s">
        <v>667</v>
      </c>
      <c r="D295" s="21"/>
      <c r="F295" s="21" t="s">
        <v>668</v>
      </c>
      <c r="G295" s="21" t="s">
        <v>666</v>
      </c>
      <c r="H295" s="108" t="s">
        <v>6</v>
      </c>
      <c r="I295" s="108" t="s">
        <v>15</v>
      </c>
      <c r="J295" s="108" t="s">
        <v>8</v>
      </c>
      <c r="K295" s="108" t="s">
        <v>15</v>
      </c>
      <c r="L295" s="1" t="s">
        <v>444</v>
      </c>
      <c r="M295" s="289">
        <v>2030</v>
      </c>
      <c r="N295" s="55">
        <v>2040</v>
      </c>
      <c r="O295" s="142">
        <v>11002</v>
      </c>
      <c r="P295" s="127"/>
      <c r="Q295" s="254">
        <v>19.7</v>
      </c>
      <c r="R295" s="141">
        <v>23.8</v>
      </c>
      <c r="S295" s="141">
        <v>24.8</v>
      </c>
      <c r="T295" s="141">
        <v>23.9</v>
      </c>
      <c r="U295" s="141">
        <v>213</v>
      </c>
      <c r="V295" s="104">
        <v>10696</v>
      </c>
      <c r="W295" s="1" t="s">
        <v>13</v>
      </c>
      <c r="X295" s="108" t="s">
        <v>12</v>
      </c>
      <c r="Y295" s="108"/>
      <c r="Z295" s="315" t="s">
        <v>674</v>
      </c>
      <c r="AA295" s="21" t="s">
        <v>675</v>
      </c>
      <c r="AB295" s="21" t="s">
        <v>1285</v>
      </c>
      <c r="AC295" s="117"/>
      <c r="AD29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19.7</v>
      </c>
      <c r="AE29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23.264907135874878</v>
      </c>
      <c r="AF29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23.790406518571388</v>
      </c>
      <c r="AG29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22.521655198121557</v>
      </c>
      <c r="AH295"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197.36087175752346</v>
      </c>
      <c r="AI295"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9182.932191219481</v>
      </c>
      <c r="AJ295" s="10">
        <f t="shared" si="24"/>
        <v>89.276968852567819</v>
      </c>
      <c r="AK295" s="10">
        <f t="shared" si="26"/>
        <v>9380.2930629770053</v>
      </c>
      <c r="AL295" s="10">
        <f t="shared" si="25"/>
        <v>9449.8700318295723</v>
      </c>
      <c r="AM295" s="6"/>
    </row>
    <row r="296" spans="1:39" ht="31.5" customHeight="1">
      <c r="A296" s="21" t="s">
        <v>231</v>
      </c>
      <c r="B296" s="21" t="s">
        <v>629</v>
      </c>
      <c r="C296" s="21" t="s">
        <v>643</v>
      </c>
      <c r="D296" s="21"/>
      <c r="F296" s="21" t="s">
        <v>644</v>
      </c>
      <c r="G296" s="21" t="s">
        <v>642</v>
      </c>
      <c r="H296" s="108" t="s">
        <v>21</v>
      </c>
      <c r="I296" s="108" t="s">
        <v>15</v>
      </c>
      <c r="J296" s="108" t="s">
        <v>8</v>
      </c>
      <c r="K296" s="108" t="s">
        <v>15</v>
      </c>
      <c r="L296" s="1" t="s">
        <v>444</v>
      </c>
      <c r="M296" s="55">
        <v>2019</v>
      </c>
      <c r="N296" s="288">
        <v>2023</v>
      </c>
      <c r="O296" s="142">
        <v>34</v>
      </c>
      <c r="P296" s="127" t="s">
        <v>673</v>
      </c>
      <c r="Q296" s="254"/>
      <c r="R296" s="141"/>
      <c r="S296" s="141"/>
      <c r="T296" s="141"/>
      <c r="U296" s="141">
        <v>12.25</v>
      </c>
      <c r="V296" s="142">
        <v>22</v>
      </c>
      <c r="W296" s="1" t="s">
        <v>13</v>
      </c>
      <c r="X296" s="108" t="s">
        <v>12</v>
      </c>
      <c r="Y296" s="108"/>
      <c r="Z296" s="315" t="s">
        <v>672</v>
      </c>
      <c r="AA296" s="21" t="s">
        <v>669</v>
      </c>
      <c r="AB296" s="21" t="s">
        <v>1286</v>
      </c>
      <c r="AC296" s="117"/>
      <c r="AD29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29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29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29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296"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11.350566568214377</v>
      </c>
      <c r="AI296"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18.887856040279409</v>
      </c>
      <c r="AJ296" s="10">
        <f t="shared" si="24"/>
        <v>0</v>
      </c>
      <c r="AK296" s="10">
        <f t="shared" si="26"/>
        <v>30.238422608493785</v>
      </c>
      <c r="AL296" s="10">
        <f t="shared" si="25"/>
        <v>30.238422608493785</v>
      </c>
      <c r="AM296" s="6"/>
    </row>
    <row r="297" spans="1:39" ht="31.5" customHeight="1">
      <c r="A297" s="21" t="s">
        <v>231</v>
      </c>
      <c r="B297" s="21" t="s">
        <v>629</v>
      </c>
      <c r="C297" s="21" t="s">
        <v>643</v>
      </c>
      <c r="D297" s="21"/>
      <c r="F297" s="21" t="s">
        <v>645</v>
      </c>
      <c r="G297" s="21" t="s">
        <v>642</v>
      </c>
      <c r="H297" s="108" t="s">
        <v>21</v>
      </c>
      <c r="I297" s="108" t="s">
        <v>15</v>
      </c>
      <c r="J297" s="108" t="s">
        <v>8</v>
      </c>
      <c r="K297" s="108" t="s">
        <v>15</v>
      </c>
      <c r="L297" s="1" t="s">
        <v>1054</v>
      </c>
      <c r="M297" s="55" t="s">
        <v>9</v>
      </c>
      <c r="N297" s="288">
        <v>2015</v>
      </c>
      <c r="O297" s="142">
        <v>47</v>
      </c>
      <c r="P297" s="127"/>
      <c r="Q297" s="254">
        <v>26</v>
      </c>
      <c r="R297" s="141">
        <v>3.5</v>
      </c>
      <c r="S297" s="141">
        <v>1</v>
      </c>
      <c r="T297" s="141">
        <v>0.1</v>
      </c>
      <c r="U297" s="141"/>
      <c r="V297" s="142"/>
      <c r="W297" s="1" t="s">
        <v>13</v>
      </c>
      <c r="X297" s="108" t="s">
        <v>12</v>
      </c>
      <c r="Y297" s="108"/>
      <c r="Z297" s="315" t="s">
        <v>672</v>
      </c>
      <c r="AA297" s="21" t="s">
        <v>669</v>
      </c>
      <c r="AB297" s="21" t="s">
        <v>1286</v>
      </c>
      <c r="AC297" s="117"/>
      <c r="AD29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26</v>
      </c>
      <c r="AE29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3.4213098729227762</v>
      </c>
      <c r="AF29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0.95929058542626566</v>
      </c>
      <c r="AG29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9.4232866937747101E-2</v>
      </c>
      <c r="AH297"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97"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97" s="10">
        <f t="shared" si="24"/>
        <v>30.474833325286792</v>
      </c>
      <c r="AK297" s="10">
        <f t="shared" si="26"/>
        <v>0</v>
      </c>
      <c r="AL297" s="10">
        <f t="shared" si="25"/>
        <v>4.4748333252867916</v>
      </c>
      <c r="AM297" s="6"/>
    </row>
    <row r="298" spans="1:39" ht="31.5" customHeight="1">
      <c r="A298" s="6" t="s">
        <v>231</v>
      </c>
      <c r="B298" s="6" t="s">
        <v>629</v>
      </c>
      <c r="C298" s="6" t="s">
        <v>643</v>
      </c>
      <c r="F298" s="6" t="s">
        <v>646</v>
      </c>
      <c r="G298" s="6" t="s">
        <v>642</v>
      </c>
      <c r="H298" s="1" t="s">
        <v>21</v>
      </c>
      <c r="I298" s="1" t="s">
        <v>15</v>
      </c>
      <c r="J298" s="1" t="s">
        <v>8</v>
      </c>
      <c r="K298" s="1" t="s">
        <v>15</v>
      </c>
      <c r="L298" s="1" t="s">
        <v>1054</v>
      </c>
      <c r="M298" s="55" t="s">
        <v>9</v>
      </c>
      <c r="N298" s="288" t="s">
        <v>29</v>
      </c>
      <c r="O298" s="142">
        <v>240</v>
      </c>
      <c r="P298" s="9"/>
      <c r="Q298" s="254">
        <v>25.5</v>
      </c>
      <c r="R298" s="142">
        <v>92.5</v>
      </c>
      <c r="S298" s="142">
        <v>73</v>
      </c>
      <c r="T298" s="142">
        <v>22</v>
      </c>
      <c r="U298" s="142"/>
      <c r="V298" s="142"/>
      <c r="W298" s="1" t="s">
        <v>13</v>
      </c>
      <c r="X298" s="1" t="s">
        <v>12</v>
      </c>
      <c r="Y298" s="1"/>
      <c r="Z298" s="315" t="s">
        <v>672</v>
      </c>
      <c r="AA298" s="6" t="s">
        <v>669</v>
      </c>
      <c r="AB298" s="21" t="s">
        <v>1286</v>
      </c>
      <c r="AC298" s="117"/>
      <c r="AD29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25.5</v>
      </c>
      <c r="AE29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90.420332355816228</v>
      </c>
      <c r="AF29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70.028212736117396</v>
      </c>
      <c r="AG29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20.731230726304361</v>
      </c>
      <c r="AH298"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298"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298" s="10">
        <f t="shared" si="24"/>
        <v>206.679775818238</v>
      </c>
      <c r="AK298" s="10">
        <f t="shared" ref="AK298" si="27">+SUM(AH298:AI298)</f>
        <v>0</v>
      </c>
      <c r="AL298" s="10">
        <f t="shared" si="25"/>
        <v>181.179775818238</v>
      </c>
      <c r="AM298" s="6"/>
    </row>
    <row r="299" spans="1:39" ht="31.5" customHeight="1">
      <c r="A299" s="21" t="s">
        <v>231</v>
      </c>
      <c r="B299" s="21" t="s">
        <v>629</v>
      </c>
      <c r="C299" s="21" t="s">
        <v>643</v>
      </c>
      <c r="D299" s="21"/>
      <c r="F299" s="21" t="s">
        <v>647</v>
      </c>
      <c r="G299" s="21" t="s">
        <v>642</v>
      </c>
      <c r="H299" s="108" t="s">
        <v>21</v>
      </c>
      <c r="I299" s="108" t="s">
        <v>15</v>
      </c>
      <c r="J299" s="108" t="s">
        <v>8</v>
      </c>
      <c r="K299" s="108" t="s">
        <v>15</v>
      </c>
      <c r="L299" s="1" t="s">
        <v>1054</v>
      </c>
      <c r="M299" s="55" t="s">
        <v>9</v>
      </c>
      <c r="N299" s="288">
        <v>2016</v>
      </c>
      <c r="O299" s="142">
        <v>57.25</v>
      </c>
      <c r="P299" s="127"/>
      <c r="Q299" s="254">
        <v>7.5</v>
      </c>
      <c r="R299" s="141">
        <v>1.5</v>
      </c>
      <c r="S299" s="141">
        <v>22.5</v>
      </c>
      <c r="T299" s="141">
        <v>6</v>
      </c>
      <c r="U299" s="141">
        <v>7.2</v>
      </c>
      <c r="V299" s="142">
        <v>12.2</v>
      </c>
      <c r="W299" s="1" t="s">
        <v>13</v>
      </c>
      <c r="X299" s="108" t="s">
        <v>12</v>
      </c>
      <c r="Y299" s="108"/>
      <c r="Z299" s="315" t="s">
        <v>672</v>
      </c>
      <c r="AA299" s="21" t="s">
        <v>669</v>
      </c>
      <c r="AB299" s="21" t="s">
        <v>1286</v>
      </c>
      <c r="AC299" s="117"/>
      <c r="AD29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7.5</v>
      </c>
      <c r="AE29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1.466275659824047</v>
      </c>
      <c r="AF29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21.584038172090978</v>
      </c>
      <c r="AG29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5.6539720162648264</v>
      </c>
      <c r="AH299"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6.6713534115219195</v>
      </c>
      <c r="AI299"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10.474174713245855</v>
      </c>
      <c r="AJ299" s="10">
        <f t="shared" si="24"/>
        <v>36.20428584817985</v>
      </c>
      <c r="AK299" s="10">
        <f t="shared" si="26"/>
        <v>17.145528124767775</v>
      </c>
      <c r="AL299" s="10">
        <f t="shared" si="25"/>
        <v>45.849813972947629</v>
      </c>
      <c r="AM299" s="6"/>
    </row>
    <row r="300" spans="1:39" ht="31.5" customHeight="1">
      <c r="A300" s="21" t="s">
        <v>231</v>
      </c>
      <c r="B300" s="21" t="s">
        <v>629</v>
      </c>
      <c r="C300" s="21" t="s">
        <v>648</v>
      </c>
      <c r="D300" s="21"/>
      <c r="F300" s="21" t="s">
        <v>649</v>
      </c>
      <c r="G300" s="21" t="s">
        <v>642</v>
      </c>
      <c r="H300" s="108" t="s">
        <v>21</v>
      </c>
      <c r="I300" s="108" t="s">
        <v>15</v>
      </c>
      <c r="J300" s="108" t="s">
        <v>8</v>
      </c>
      <c r="K300" s="108" t="s">
        <v>15</v>
      </c>
      <c r="L300" s="1" t="s">
        <v>1054</v>
      </c>
      <c r="M300" s="55">
        <v>2015</v>
      </c>
      <c r="N300" s="288">
        <v>2022</v>
      </c>
      <c r="O300" s="142">
        <v>25</v>
      </c>
      <c r="P300" s="127"/>
      <c r="Q300" s="254">
        <v>1.5</v>
      </c>
      <c r="R300" s="141">
        <v>1.5</v>
      </c>
      <c r="S300" s="141">
        <v>5.25</v>
      </c>
      <c r="T300" s="141">
        <v>4.5</v>
      </c>
      <c r="U300" s="141">
        <v>12.5</v>
      </c>
      <c r="V300" s="142">
        <v>0.3</v>
      </c>
      <c r="W300" s="1" t="s">
        <v>13</v>
      </c>
      <c r="X300" s="108" t="s">
        <v>12</v>
      </c>
      <c r="Y300" s="108"/>
      <c r="Z300" s="315" t="s">
        <v>672</v>
      </c>
      <c r="AA300" s="21" t="s">
        <v>669</v>
      </c>
      <c r="AB300" s="21" t="s">
        <v>1286</v>
      </c>
      <c r="AC300" s="117"/>
      <c r="AD30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1.5</v>
      </c>
      <c r="AE30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1.466275659824047</v>
      </c>
      <c r="AF30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5.0362755734878943</v>
      </c>
      <c r="AG30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4.2404790121986196</v>
      </c>
      <c r="AH300"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11.582210783892222</v>
      </c>
      <c r="AI300"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0.2575616732765374</v>
      </c>
      <c r="AJ300" s="10">
        <f t="shared" si="24"/>
        <v>12.24303024551056</v>
      </c>
      <c r="AK300" s="10">
        <f t="shared" si="26"/>
        <v>11.83977245716876</v>
      </c>
      <c r="AL300" s="10">
        <f t="shared" si="25"/>
        <v>22.58280270267932</v>
      </c>
      <c r="AM300" s="6"/>
    </row>
    <row r="301" spans="1:39" ht="31.5" customHeight="1">
      <c r="A301" s="21" t="s">
        <v>231</v>
      </c>
      <c r="B301" s="21" t="s">
        <v>629</v>
      </c>
      <c r="C301" s="21" t="s">
        <v>648</v>
      </c>
      <c r="D301" s="21"/>
      <c r="F301" s="21" t="s">
        <v>650</v>
      </c>
      <c r="G301" s="21" t="s">
        <v>642</v>
      </c>
      <c r="H301" s="108" t="s">
        <v>21</v>
      </c>
      <c r="I301" s="108" t="s">
        <v>15</v>
      </c>
      <c r="J301" s="108" t="s">
        <v>8</v>
      </c>
      <c r="K301" s="108" t="s">
        <v>15</v>
      </c>
      <c r="L301" s="1" t="s">
        <v>1054</v>
      </c>
      <c r="M301" s="55">
        <v>2018</v>
      </c>
      <c r="N301" s="288">
        <v>2020</v>
      </c>
      <c r="O301" s="142">
        <v>59.5</v>
      </c>
      <c r="P301" s="127"/>
      <c r="Q301" s="254"/>
      <c r="R301" s="141">
        <v>0.5</v>
      </c>
      <c r="S301" s="141">
        <v>1</v>
      </c>
      <c r="T301" s="141">
        <v>1.5</v>
      </c>
      <c r="U301" s="141">
        <v>26.5</v>
      </c>
      <c r="V301" s="142">
        <v>30</v>
      </c>
      <c r="W301" s="1" t="s">
        <v>13</v>
      </c>
      <c r="X301" s="108" t="s">
        <v>12</v>
      </c>
      <c r="Y301" s="108"/>
      <c r="Z301" s="315" t="s">
        <v>672</v>
      </c>
      <c r="AA301" s="21" t="s">
        <v>669</v>
      </c>
      <c r="AB301" s="21" t="s">
        <v>1286</v>
      </c>
      <c r="AC301" s="117"/>
      <c r="AD30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30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0.48875855327468232</v>
      </c>
      <c r="AF30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0.95929058542626566</v>
      </c>
      <c r="AG30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1.4134930040662066</v>
      </c>
      <c r="AH301"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24.554286861851509</v>
      </c>
      <c r="AI301"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25.756167327653742</v>
      </c>
      <c r="AJ301" s="10">
        <f t="shared" si="24"/>
        <v>2.8615421427671546</v>
      </c>
      <c r="AK301" s="10">
        <f t="shared" si="26"/>
        <v>50.310454189505251</v>
      </c>
      <c r="AL301" s="10">
        <f t="shared" si="25"/>
        <v>53.171996332272407</v>
      </c>
      <c r="AM301" s="6"/>
    </row>
    <row r="302" spans="1:39" ht="31.5" customHeight="1">
      <c r="A302" s="21" t="s">
        <v>231</v>
      </c>
      <c r="B302" s="21" t="s">
        <v>629</v>
      </c>
      <c r="C302" s="21" t="s">
        <v>630</v>
      </c>
      <c r="D302" s="21"/>
      <c r="F302" s="21" t="s">
        <v>632</v>
      </c>
      <c r="G302" s="21" t="s">
        <v>631</v>
      </c>
      <c r="H302" s="108" t="s">
        <v>16</v>
      </c>
      <c r="I302" s="108" t="s">
        <v>15</v>
      </c>
      <c r="J302" s="108" t="s">
        <v>8</v>
      </c>
      <c r="K302" s="108" t="s">
        <v>15</v>
      </c>
      <c r="L302" s="1" t="s">
        <v>1054</v>
      </c>
      <c r="M302" s="85" t="s">
        <v>9</v>
      </c>
      <c r="N302" s="85">
        <v>2014</v>
      </c>
      <c r="O302" s="142">
        <v>31</v>
      </c>
      <c r="P302" s="127"/>
      <c r="Q302" s="254">
        <v>9</v>
      </c>
      <c r="R302" s="141">
        <v>7.5</v>
      </c>
      <c r="S302" s="141">
        <v>0.5</v>
      </c>
      <c r="T302" s="141">
        <v>1.5</v>
      </c>
      <c r="U302" s="141"/>
      <c r="V302" s="142"/>
      <c r="W302" s="1" t="s">
        <v>13</v>
      </c>
      <c r="X302" s="108" t="s">
        <v>12</v>
      </c>
      <c r="Y302" s="108"/>
      <c r="Z302" s="315" t="s">
        <v>670</v>
      </c>
      <c r="AA302" s="21" t="s">
        <v>669</v>
      </c>
      <c r="AB302" s="21" t="s">
        <v>1286</v>
      </c>
      <c r="AC302" s="117"/>
      <c r="AD30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9</v>
      </c>
      <c r="AE30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7.3313782991202352</v>
      </c>
      <c r="AF30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0.47964529271313283</v>
      </c>
      <c r="AG30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1.4134930040662066</v>
      </c>
      <c r="AH302"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302"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02" s="10">
        <f t="shared" si="24"/>
        <v>18.224516595899576</v>
      </c>
      <c r="AK302" s="10">
        <f t="shared" si="26"/>
        <v>0</v>
      </c>
      <c r="AL302" s="10">
        <f t="shared" si="25"/>
        <v>9.2245165958995763</v>
      </c>
      <c r="AM302" s="6"/>
    </row>
    <row r="303" spans="1:39" ht="31.5" customHeight="1">
      <c r="A303" s="21" t="s">
        <v>231</v>
      </c>
      <c r="B303" s="21" t="s">
        <v>629</v>
      </c>
      <c r="C303" s="21" t="s">
        <v>630</v>
      </c>
      <c r="D303" s="21"/>
      <c r="F303" s="21" t="s">
        <v>633</v>
      </c>
      <c r="G303" s="21" t="s">
        <v>631</v>
      </c>
      <c r="H303" s="108" t="s">
        <v>16</v>
      </c>
      <c r="I303" s="108" t="s">
        <v>15</v>
      </c>
      <c r="J303" s="108" t="s">
        <v>8</v>
      </c>
      <c r="K303" s="108" t="s">
        <v>15</v>
      </c>
      <c r="L303" s="1" t="s">
        <v>1054</v>
      </c>
      <c r="M303" s="85" t="s">
        <v>9</v>
      </c>
      <c r="N303" s="85" t="s">
        <v>27</v>
      </c>
      <c r="O303" s="142">
        <v>64</v>
      </c>
      <c r="P303" s="127"/>
      <c r="Q303" s="254">
        <v>11</v>
      </c>
      <c r="R303" s="141">
        <v>19</v>
      </c>
      <c r="S303" s="141">
        <v>21.5</v>
      </c>
      <c r="T303" s="141">
        <v>7</v>
      </c>
      <c r="U303" s="141">
        <v>0.5</v>
      </c>
      <c r="V303" s="142"/>
      <c r="W303" s="1" t="s">
        <v>13</v>
      </c>
      <c r="X303" s="108" t="s">
        <v>12</v>
      </c>
      <c r="Y303" s="108"/>
      <c r="Z303" s="315" t="s">
        <v>670</v>
      </c>
      <c r="AA303" s="21" t="s">
        <v>669</v>
      </c>
      <c r="AB303" s="21" t="s">
        <v>1286</v>
      </c>
      <c r="AC303" s="117"/>
      <c r="AD30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11</v>
      </c>
      <c r="AE30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18.572825024437929</v>
      </c>
      <c r="AF30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20.624747586664711</v>
      </c>
      <c r="AG30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6.596300685642297</v>
      </c>
      <c r="AH303"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0.46328843135568887</v>
      </c>
      <c r="AI303"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03" s="10">
        <f t="shared" si="24"/>
        <v>56.793873296744941</v>
      </c>
      <c r="AK303" s="10">
        <f t="shared" si="26"/>
        <v>0.46328843135568887</v>
      </c>
      <c r="AL303" s="10">
        <f t="shared" si="25"/>
        <v>46.257161728100627</v>
      </c>
      <c r="AM303" s="6"/>
    </row>
    <row r="304" spans="1:39" ht="31.5" customHeight="1">
      <c r="A304" s="21" t="s">
        <v>231</v>
      </c>
      <c r="B304" s="21" t="s">
        <v>629</v>
      </c>
      <c r="C304" s="21" t="s">
        <v>630</v>
      </c>
      <c r="D304" s="21"/>
      <c r="F304" s="21" t="s">
        <v>637</v>
      </c>
      <c r="G304" s="21" t="s">
        <v>634</v>
      </c>
      <c r="H304" s="108" t="s">
        <v>26</v>
      </c>
      <c r="I304" s="108" t="s">
        <v>15</v>
      </c>
      <c r="J304" s="108" t="s">
        <v>8</v>
      </c>
      <c r="K304" s="108" t="s">
        <v>15</v>
      </c>
      <c r="L304" s="1" t="s">
        <v>1054</v>
      </c>
      <c r="M304" s="55" t="s">
        <v>9</v>
      </c>
      <c r="N304" s="85">
        <v>2014</v>
      </c>
      <c r="O304" s="142">
        <v>39.4</v>
      </c>
      <c r="P304" s="127"/>
      <c r="Q304" s="254">
        <v>24</v>
      </c>
      <c r="R304" s="141">
        <v>3</v>
      </c>
      <c r="S304" s="141"/>
      <c r="T304" s="141"/>
      <c r="U304" s="141"/>
      <c r="V304" s="142"/>
      <c r="W304" s="1" t="s">
        <v>13</v>
      </c>
      <c r="X304" s="108" t="s">
        <v>12</v>
      </c>
      <c r="Y304" s="108"/>
      <c r="Z304" s="315" t="s">
        <v>670</v>
      </c>
      <c r="AA304" s="21" t="s">
        <v>669</v>
      </c>
      <c r="AB304" s="21" t="s">
        <v>1286</v>
      </c>
      <c r="AC304" s="117"/>
      <c r="AD30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24</v>
      </c>
      <c r="AE30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2.9325513196480939</v>
      </c>
      <c r="AF30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30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304"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304"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04" s="10">
        <f t="shared" si="24"/>
        <v>26.932551319648095</v>
      </c>
      <c r="AK304" s="10">
        <f t="shared" si="26"/>
        <v>0</v>
      </c>
      <c r="AL304" s="10">
        <f t="shared" si="25"/>
        <v>2.9325513196480948</v>
      </c>
      <c r="AM304" s="6"/>
    </row>
    <row r="305" spans="1:39" ht="31.5" customHeight="1">
      <c r="A305" s="21" t="s">
        <v>231</v>
      </c>
      <c r="B305" s="21" t="s">
        <v>629</v>
      </c>
      <c r="C305" s="21" t="s">
        <v>630</v>
      </c>
      <c r="D305" s="21"/>
      <c r="F305" s="21" t="s">
        <v>639</v>
      </c>
      <c r="G305" s="21" t="s">
        <v>638</v>
      </c>
      <c r="H305" s="108" t="s">
        <v>17</v>
      </c>
      <c r="I305" s="108" t="s">
        <v>15</v>
      </c>
      <c r="J305" s="108" t="s">
        <v>8</v>
      </c>
      <c r="K305" s="108" t="s">
        <v>15</v>
      </c>
      <c r="L305" s="1" t="s">
        <v>932</v>
      </c>
      <c r="M305" s="55">
        <v>2014</v>
      </c>
      <c r="N305" s="85">
        <v>2017</v>
      </c>
      <c r="O305" s="142">
        <v>8.42</v>
      </c>
      <c r="P305" s="127"/>
      <c r="Q305" s="254">
        <v>0.02</v>
      </c>
      <c r="R305" s="141"/>
      <c r="S305" s="141">
        <v>0.4</v>
      </c>
      <c r="T305" s="141">
        <v>3</v>
      </c>
      <c r="U305" s="141">
        <v>5</v>
      </c>
      <c r="V305" s="142"/>
      <c r="W305" s="1" t="s">
        <v>13</v>
      </c>
      <c r="X305" s="108" t="s">
        <v>12</v>
      </c>
      <c r="Y305" s="108"/>
      <c r="Z305" s="315" t="s">
        <v>670</v>
      </c>
      <c r="AA305" s="21" t="s">
        <v>669</v>
      </c>
      <c r="AB305" s="21" t="s">
        <v>1286</v>
      </c>
      <c r="AC305" s="117"/>
      <c r="AD30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0.02</v>
      </c>
      <c r="AE30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30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0.38371623417050627</v>
      </c>
      <c r="AG30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2.8269860081324132</v>
      </c>
      <c r="AH305"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4.6328843135568887</v>
      </c>
      <c r="AI305"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05" s="10">
        <f t="shared" si="24"/>
        <v>3.2307022423029195</v>
      </c>
      <c r="AK305" s="10">
        <f t="shared" si="26"/>
        <v>4.6328843135568887</v>
      </c>
      <c r="AL305" s="10">
        <f t="shared" si="25"/>
        <v>7.8435865558598081</v>
      </c>
      <c r="AM305" s="6"/>
    </row>
    <row r="306" spans="1:39" ht="31.5" customHeight="1">
      <c r="A306" s="21" t="s">
        <v>231</v>
      </c>
      <c r="B306" s="21" t="s">
        <v>629</v>
      </c>
      <c r="C306" s="21" t="s">
        <v>630</v>
      </c>
      <c r="D306" s="21"/>
      <c r="F306" s="21" t="s">
        <v>641</v>
      </c>
      <c r="G306" s="21" t="s">
        <v>640</v>
      </c>
      <c r="H306" s="1" t="s">
        <v>25</v>
      </c>
      <c r="I306" s="108" t="s">
        <v>15</v>
      </c>
      <c r="J306" s="108" t="s">
        <v>8</v>
      </c>
      <c r="K306" s="108" t="s">
        <v>15</v>
      </c>
      <c r="L306" s="1" t="s">
        <v>444</v>
      </c>
      <c r="M306" s="55">
        <v>2014</v>
      </c>
      <c r="N306" s="85">
        <v>2018</v>
      </c>
      <c r="O306" s="142">
        <v>16</v>
      </c>
      <c r="P306" s="127"/>
      <c r="Q306" s="254">
        <v>0.14000000000000001</v>
      </c>
      <c r="R306" s="141">
        <v>1</v>
      </c>
      <c r="S306" s="141">
        <v>2</v>
      </c>
      <c r="T306" s="141">
        <v>4</v>
      </c>
      <c r="U306" s="141">
        <v>8.9</v>
      </c>
      <c r="V306" s="142"/>
      <c r="W306" s="1" t="s">
        <v>13</v>
      </c>
      <c r="X306" s="108" t="s">
        <v>12</v>
      </c>
      <c r="Y306" s="108"/>
      <c r="Z306" s="315" t="s">
        <v>671</v>
      </c>
      <c r="AA306" s="21" t="s">
        <v>669</v>
      </c>
      <c r="AB306" s="21" t="s">
        <v>1286</v>
      </c>
      <c r="AC306" s="117"/>
      <c r="AD30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0.14000000000000001</v>
      </c>
      <c r="AE30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0.97751710654936463</v>
      </c>
      <c r="AF30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1.9185811708525313</v>
      </c>
      <c r="AG30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3.7693146775098842</v>
      </c>
      <c r="AH306"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8.2465340781312619</v>
      </c>
      <c r="AI306"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06" s="10">
        <f t="shared" si="24"/>
        <v>6.8054129549117803</v>
      </c>
      <c r="AK306" s="10">
        <f t="shared" si="26"/>
        <v>8.2465340781312619</v>
      </c>
      <c r="AL306" s="10">
        <f t="shared" si="25"/>
        <v>14.911947033043042</v>
      </c>
      <c r="AM306" s="6"/>
    </row>
    <row r="307" spans="1:39" ht="31.5" customHeight="1">
      <c r="A307" s="21" t="s">
        <v>231</v>
      </c>
      <c r="B307" s="21" t="s">
        <v>629</v>
      </c>
      <c r="C307" s="21" t="s">
        <v>630</v>
      </c>
      <c r="D307" s="21"/>
      <c r="F307" s="21" t="s">
        <v>997</v>
      </c>
      <c r="G307" s="21" t="s">
        <v>890</v>
      </c>
      <c r="H307" s="108" t="s">
        <v>16</v>
      </c>
      <c r="I307" s="108" t="s">
        <v>15</v>
      </c>
      <c r="J307" s="108" t="s">
        <v>8</v>
      </c>
      <c r="K307" s="108" t="s">
        <v>15</v>
      </c>
      <c r="L307" s="1" t="s">
        <v>1054</v>
      </c>
      <c r="M307" s="55" t="s">
        <v>9</v>
      </c>
      <c r="N307" s="85" t="s">
        <v>27</v>
      </c>
      <c r="O307" s="142">
        <v>2</v>
      </c>
      <c r="P307" s="127"/>
      <c r="Q307" s="254">
        <v>0.32</v>
      </c>
      <c r="R307" s="141">
        <v>0.5</v>
      </c>
      <c r="S307" s="141"/>
      <c r="T307" s="141"/>
      <c r="U307" s="141"/>
      <c r="V307" s="142"/>
      <c r="W307" s="1" t="s">
        <v>13</v>
      </c>
      <c r="X307" s="108" t="s">
        <v>12</v>
      </c>
      <c r="Y307" s="108"/>
      <c r="Z307" s="315" t="s">
        <v>670</v>
      </c>
      <c r="AA307" s="21" t="s">
        <v>669</v>
      </c>
      <c r="AB307" s="21" t="s">
        <v>1286</v>
      </c>
      <c r="AC307" s="117"/>
      <c r="AD30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0.32</v>
      </c>
      <c r="AE30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0.48875855327468232</v>
      </c>
      <c r="AF30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30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307"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307"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07" s="10">
        <f t="shared" si="24"/>
        <v>0.80875855327468238</v>
      </c>
      <c r="AK307" s="10">
        <f t="shared" si="26"/>
        <v>0</v>
      </c>
      <c r="AL307" s="10">
        <f t="shared" si="25"/>
        <v>0.48875855327468237</v>
      </c>
      <c r="AM307" s="6"/>
    </row>
    <row r="308" spans="1:39" ht="31.5" customHeight="1">
      <c r="A308" s="21" t="s">
        <v>231</v>
      </c>
      <c r="B308" s="21" t="s">
        <v>629</v>
      </c>
      <c r="C308" s="21" t="s">
        <v>630</v>
      </c>
      <c r="D308" s="21"/>
      <c r="F308" s="21" t="s">
        <v>651</v>
      </c>
      <c r="G308" s="21" t="s">
        <v>642</v>
      </c>
      <c r="H308" s="108" t="s">
        <v>21</v>
      </c>
      <c r="I308" s="108" t="s">
        <v>15</v>
      </c>
      <c r="J308" s="108" t="s">
        <v>8</v>
      </c>
      <c r="K308" s="108" t="s">
        <v>15</v>
      </c>
      <c r="L308" s="1" t="s">
        <v>1054</v>
      </c>
      <c r="M308" s="55" t="s">
        <v>9</v>
      </c>
      <c r="N308" s="288">
        <v>2018</v>
      </c>
      <c r="O308" s="142">
        <v>176</v>
      </c>
      <c r="P308" s="127"/>
      <c r="Q308" s="254">
        <v>18</v>
      </c>
      <c r="R308" s="141">
        <v>54.5</v>
      </c>
      <c r="S308" s="141">
        <v>53</v>
      </c>
      <c r="T308" s="141">
        <v>22</v>
      </c>
      <c r="U308" s="142"/>
      <c r="V308" s="142">
        <v>2.2000000000000002</v>
      </c>
      <c r="W308" s="1" t="s">
        <v>13</v>
      </c>
      <c r="X308" s="108" t="s">
        <v>12</v>
      </c>
      <c r="Y308" s="108"/>
      <c r="Z308" s="315" t="s">
        <v>672</v>
      </c>
      <c r="AA308" s="21" t="s">
        <v>669</v>
      </c>
      <c r="AB308" s="21" t="s">
        <v>1286</v>
      </c>
      <c r="AC308" s="117"/>
      <c r="AD30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18</v>
      </c>
      <c r="AE30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53.27468230694037</v>
      </c>
      <c r="AF30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50.842401027592082</v>
      </c>
      <c r="AG30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20.731230726304361</v>
      </c>
      <c r="AH308"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308"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1.8887856040279412</v>
      </c>
      <c r="AJ308" s="10">
        <f t="shared" si="24"/>
        <v>142.8483140608368</v>
      </c>
      <c r="AK308" s="10">
        <f t="shared" si="26"/>
        <v>1.8887856040279412</v>
      </c>
      <c r="AL308" s="10">
        <f t="shared" si="25"/>
        <v>126.73709966486473</v>
      </c>
      <c r="AM308" s="6"/>
    </row>
    <row r="309" spans="1:39" ht="31.5" customHeight="1">
      <c r="A309" s="21" t="s">
        <v>231</v>
      </c>
      <c r="B309" s="21" t="s">
        <v>629</v>
      </c>
      <c r="C309" s="21" t="s">
        <v>630</v>
      </c>
      <c r="D309" s="21"/>
      <c r="F309" s="21" t="s">
        <v>652</v>
      </c>
      <c r="G309" s="21" t="s">
        <v>642</v>
      </c>
      <c r="H309" s="108" t="s">
        <v>21</v>
      </c>
      <c r="I309" s="108" t="s">
        <v>15</v>
      </c>
      <c r="J309" s="108" t="s">
        <v>8</v>
      </c>
      <c r="K309" s="108" t="s">
        <v>15</v>
      </c>
      <c r="L309" s="1" t="s">
        <v>1054</v>
      </c>
      <c r="M309" s="55" t="s">
        <v>9</v>
      </c>
      <c r="N309" s="288">
        <v>2014</v>
      </c>
      <c r="O309" s="142">
        <v>301</v>
      </c>
      <c r="P309" s="127"/>
      <c r="Q309" s="254">
        <v>65.5</v>
      </c>
      <c r="R309" s="141">
        <v>13</v>
      </c>
      <c r="S309" s="141"/>
      <c r="T309" s="141">
        <v>6</v>
      </c>
      <c r="U309" s="141">
        <v>86</v>
      </c>
      <c r="V309" s="142">
        <v>137</v>
      </c>
      <c r="W309" s="1" t="s">
        <v>13</v>
      </c>
      <c r="X309" s="108" t="s">
        <v>12</v>
      </c>
      <c r="Y309" s="108"/>
      <c r="Z309" s="315" t="s">
        <v>672</v>
      </c>
      <c r="AA309" s="21" t="s">
        <v>669</v>
      </c>
      <c r="AB309" s="21" t="s">
        <v>1286</v>
      </c>
      <c r="AC309" s="117"/>
      <c r="AD30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65.5</v>
      </c>
      <c r="AE30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12.707722385141741</v>
      </c>
      <c r="AF30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30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5.6539720162648264</v>
      </c>
      <c r="AH309"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79.685610193178491</v>
      </c>
      <c r="AI309"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117.61983079628541</v>
      </c>
      <c r="AJ309" s="10">
        <f t="shared" si="24"/>
        <v>83.861694401406567</v>
      </c>
      <c r="AK309" s="10">
        <f t="shared" si="26"/>
        <v>197.3054409894639</v>
      </c>
      <c r="AL309" s="10">
        <f t="shared" si="25"/>
        <v>215.6671353908705</v>
      </c>
      <c r="AM309" s="6"/>
    </row>
    <row r="310" spans="1:39" ht="31.5" customHeight="1">
      <c r="A310" s="21" t="s">
        <v>231</v>
      </c>
      <c r="B310" s="21" t="s">
        <v>629</v>
      </c>
      <c r="C310" s="21" t="s">
        <v>630</v>
      </c>
      <c r="D310" s="21"/>
      <c r="F310" s="21" t="s">
        <v>653</v>
      </c>
      <c r="G310" s="21" t="s">
        <v>642</v>
      </c>
      <c r="H310" s="108" t="s">
        <v>21</v>
      </c>
      <c r="I310" s="108" t="s">
        <v>15</v>
      </c>
      <c r="J310" s="108" t="s">
        <v>8</v>
      </c>
      <c r="K310" s="108" t="s">
        <v>15</v>
      </c>
      <c r="L310" s="1" t="s">
        <v>1054</v>
      </c>
      <c r="M310" s="55">
        <v>2016</v>
      </c>
      <c r="N310" s="288">
        <v>2020</v>
      </c>
      <c r="O310" s="142">
        <v>115.2</v>
      </c>
      <c r="P310" s="127"/>
      <c r="Q310" s="254"/>
      <c r="R310" s="141">
        <v>1</v>
      </c>
      <c r="S310" s="141">
        <v>2.25</v>
      </c>
      <c r="T310" s="141">
        <v>10.75</v>
      </c>
      <c r="U310" s="141">
        <v>58.2</v>
      </c>
      <c r="V310" s="142">
        <v>43</v>
      </c>
      <c r="W310" s="1" t="s">
        <v>13</v>
      </c>
      <c r="X310" s="108" t="s">
        <v>12</v>
      </c>
      <c r="Y310" s="108"/>
      <c r="Z310" s="315" t="s">
        <v>672</v>
      </c>
      <c r="AA310" s="21" t="s">
        <v>669</v>
      </c>
      <c r="AB310" s="21" t="s">
        <v>1286</v>
      </c>
      <c r="AC310" s="117"/>
      <c r="AD31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31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0.97751710654936463</v>
      </c>
      <c r="AF31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2.1584038172090976</v>
      </c>
      <c r="AG31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10.130033195807814</v>
      </c>
      <c r="AH310"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53.926773409802188</v>
      </c>
      <c r="AI310"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36.917173169637032</v>
      </c>
      <c r="AJ310" s="10">
        <f t="shared" si="24"/>
        <v>13.265954119566276</v>
      </c>
      <c r="AK310" s="10">
        <f t="shared" si="26"/>
        <v>90.843946579439219</v>
      </c>
      <c r="AL310" s="10">
        <f t="shared" si="25"/>
        <v>104.10990069900549</v>
      </c>
      <c r="AM310" s="6"/>
    </row>
    <row r="311" spans="1:39" ht="31.5" customHeight="1">
      <c r="A311" s="21" t="s">
        <v>231</v>
      </c>
      <c r="B311" s="21" t="s">
        <v>629</v>
      </c>
      <c r="C311" s="21" t="s">
        <v>630</v>
      </c>
      <c r="D311" s="21"/>
      <c r="F311" s="21" t="s">
        <v>654</v>
      </c>
      <c r="G311" s="21" t="s">
        <v>642</v>
      </c>
      <c r="H311" s="108" t="s">
        <v>21</v>
      </c>
      <c r="I311" s="108" t="s">
        <v>15</v>
      </c>
      <c r="J311" s="108" t="s">
        <v>8</v>
      </c>
      <c r="K311" s="108" t="s">
        <v>15</v>
      </c>
      <c r="L311" s="1" t="s">
        <v>444</v>
      </c>
      <c r="M311" s="55" t="s">
        <v>9</v>
      </c>
      <c r="N311" s="288">
        <v>2019</v>
      </c>
      <c r="O311" s="142">
        <v>71.5</v>
      </c>
      <c r="P311" s="127"/>
      <c r="Q311" s="254"/>
      <c r="R311" s="141"/>
      <c r="S311" s="141">
        <v>2</v>
      </c>
      <c r="T311" s="141">
        <v>5.5</v>
      </c>
      <c r="U311" s="141">
        <v>31</v>
      </c>
      <c r="V311" s="142">
        <v>33.200000000000003</v>
      </c>
      <c r="W311" s="1" t="s">
        <v>13</v>
      </c>
      <c r="X311" s="108" t="s">
        <v>12</v>
      </c>
      <c r="Y311" s="108"/>
      <c r="Z311" s="315" t="s">
        <v>672</v>
      </c>
      <c r="AA311" s="21" t="s">
        <v>669</v>
      </c>
      <c r="AB311" s="21" t="s">
        <v>1286</v>
      </c>
      <c r="AC311" s="117"/>
      <c r="AD31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31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31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1.9185811708525313</v>
      </c>
      <c r="AG31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5.1828076815760902</v>
      </c>
      <c r="AH311"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28.723882744052709</v>
      </c>
      <c r="AI311"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28.503491842603477</v>
      </c>
      <c r="AJ311" s="10">
        <f t="shared" si="24"/>
        <v>7.1013888524286219</v>
      </c>
      <c r="AK311" s="10">
        <f t="shared" si="26"/>
        <v>57.227374586656182</v>
      </c>
      <c r="AL311" s="10">
        <f t="shared" si="25"/>
        <v>64.32876343908481</v>
      </c>
      <c r="AM311" s="6"/>
    </row>
    <row r="312" spans="1:39" ht="31.5" customHeight="1">
      <c r="A312" s="21" t="s">
        <v>231</v>
      </c>
      <c r="B312" s="21" t="s">
        <v>629</v>
      </c>
      <c r="C312" s="21" t="s">
        <v>630</v>
      </c>
      <c r="D312" s="21"/>
      <c r="F312" s="21" t="s">
        <v>655</v>
      </c>
      <c r="G312" s="21" t="s">
        <v>642</v>
      </c>
      <c r="H312" s="108" t="s">
        <v>21</v>
      </c>
      <c r="I312" s="108" t="s">
        <v>15</v>
      </c>
      <c r="J312" s="108" t="s">
        <v>8</v>
      </c>
      <c r="K312" s="108" t="s">
        <v>15</v>
      </c>
      <c r="L312" s="1" t="s">
        <v>1054</v>
      </c>
      <c r="M312" s="55" t="s">
        <v>9</v>
      </c>
      <c r="N312" s="55">
        <v>2017</v>
      </c>
      <c r="O312" s="142">
        <v>105</v>
      </c>
      <c r="P312" s="127"/>
      <c r="Q312" s="254">
        <v>0.01</v>
      </c>
      <c r="R312" s="141">
        <v>9.5</v>
      </c>
      <c r="S312" s="141">
        <v>41.5</v>
      </c>
      <c r="T312" s="141">
        <v>40</v>
      </c>
      <c r="U312" s="141">
        <v>13.5</v>
      </c>
      <c r="V312" s="142"/>
      <c r="W312" s="1" t="s">
        <v>13</v>
      </c>
      <c r="X312" s="108" t="s">
        <v>12</v>
      </c>
      <c r="Y312" s="108"/>
      <c r="Z312" s="315" t="s">
        <v>672</v>
      </c>
      <c r="AA312" s="21" t="s">
        <v>669</v>
      </c>
      <c r="AB312" s="21" t="s">
        <v>1286</v>
      </c>
      <c r="AC312" s="117"/>
      <c r="AD31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0.01</v>
      </c>
      <c r="AE31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9.2864125122189645</v>
      </c>
      <c r="AF31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39.810559295190025</v>
      </c>
      <c r="AG31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37.693146775098839</v>
      </c>
      <c r="AH312"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12.508787646603599</v>
      </c>
      <c r="AI312"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12" s="10">
        <f t="shared" si="24"/>
        <v>86.800118582507821</v>
      </c>
      <c r="AK312" s="10">
        <f t="shared" si="26"/>
        <v>12.508787646603599</v>
      </c>
      <c r="AL312" s="10">
        <f t="shared" si="25"/>
        <v>99.29890622911141</v>
      </c>
      <c r="AM312" s="6"/>
    </row>
    <row r="313" spans="1:39" ht="31.5" customHeight="1">
      <c r="A313" s="21" t="s">
        <v>231</v>
      </c>
      <c r="B313" s="21" t="s">
        <v>629</v>
      </c>
      <c r="C313" s="21" t="s">
        <v>630</v>
      </c>
      <c r="D313" s="21"/>
      <c r="F313" s="21" t="s">
        <v>656</v>
      </c>
      <c r="G313" s="21" t="s">
        <v>642</v>
      </c>
      <c r="H313" s="108" t="s">
        <v>21</v>
      </c>
      <c r="I313" s="108" t="s">
        <v>15</v>
      </c>
      <c r="J313" s="108" t="s">
        <v>8</v>
      </c>
      <c r="K313" s="108" t="s">
        <v>15</v>
      </c>
      <c r="L313" s="1" t="s">
        <v>1054</v>
      </c>
      <c r="M313" s="55" t="s">
        <v>9</v>
      </c>
      <c r="N313" s="55">
        <v>2018</v>
      </c>
      <c r="O313" s="142">
        <v>92</v>
      </c>
      <c r="P313" s="127"/>
      <c r="Q313" s="254">
        <v>13</v>
      </c>
      <c r="R313" s="141">
        <v>22</v>
      </c>
      <c r="S313" s="141">
        <v>16</v>
      </c>
      <c r="T313" s="141">
        <v>7</v>
      </c>
      <c r="U313" s="141">
        <v>6.5</v>
      </c>
      <c r="V313" s="142"/>
      <c r="W313" s="1" t="s">
        <v>13</v>
      </c>
      <c r="X313" s="108" t="s">
        <v>12</v>
      </c>
      <c r="Y313" s="108"/>
      <c r="Z313" s="315" t="s">
        <v>672</v>
      </c>
      <c r="AA313" s="21" t="s">
        <v>669</v>
      </c>
      <c r="AB313" s="21" t="s">
        <v>1286</v>
      </c>
      <c r="AC313" s="117"/>
      <c r="AD31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13</v>
      </c>
      <c r="AE31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21.505376344086024</v>
      </c>
      <c r="AF31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15.348649366820251</v>
      </c>
      <c r="AG31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6.596300685642297</v>
      </c>
      <c r="AH313"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6.0227496076239557</v>
      </c>
      <c r="AI313"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13" s="10">
        <f t="shared" si="24"/>
        <v>56.450326396548569</v>
      </c>
      <c r="AK313" s="10">
        <f t="shared" si="26"/>
        <v>6.0227496076239557</v>
      </c>
      <c r="AL313" s="10">
        <f t="shared" si="25"/>
        <v>49.473076004172526</v>
      </c>
      <c r="AM313" s="6"/>
    </row>
    <row r="314" spans="1:39" ht="31.5" customHeight="1">
      <c r="A314" s="21" t="s">
        <v>231</v>
      </c>
      <c r="B314" s="21" t="s">
        <v>629</v>
      </c>
      <c r="C314" s="21" t="s">
        <v>630</v>
      </c>
      <c r="D314" s="21"/>
      <c r="F314" s="21" t="s">
        <v>657</v>
      </c>
      <c r="G314" s="21" t="s">
        <v>642</v>
      </c>
      <c r="H314" s="108" t="s">
        <v>21</v>
      </c>
      <c r="I314" s="108" t="s">
        <v>15</v>
      </c>
      <c r="J314" s="108" t="s">
        <v>8</v>
      </c>
      <c r="K314" s="108" t="s">
        <v>15</v>
      </c>
      <c r="L314" s="1" t="s">
        <v>1054</v>
      </c>
      <c r="M314" s="55" t="s">
        <v>9</v>
      </c>
      <c r="N314" s="55">
        <v>2017</v>
      </c>
      <c r="O314" s="142">
        <v>611</v>
      </c>
      <c r="P314" s="127"/>
      <c r="Q314" s="254">
        <v>42</v>
      </c>
      <c r="R314" s="141">
        <v>51.5</v>
      </c>
      <c r="S314" s="141">
        <v>102</v>
      </c>
      <c r="T314" s="141">
        <v>172</v>
      </c>
      <c r="U314" s="141">
        <v>227.5</v>
      </c>
      <c r="V314" s="142"/>
      <c r="W314" s="1" t="s">
        <v>13</v>
      </c>
      <c r="X314" s="108" t="s">
        <v>12</v>
      </c>
      <c r="Y314" s="108"/>
      <c r="Z314" s="315" t="s">
        <v>672</v>
      </c>
      <c r="AA314" s="21" t="s">
        <v>669</v>
      </c>
      <c r="AB314" s="21" t="s">
        <v>1286</v>
      </c>
      <c r="AC314" s="117"/>
      <c r="AD31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42</v>
      </c>
      <c r="AE31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50.342130987292279</v>
      </c>
      <c r="AF31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97.847639713479097</v>
      </c>
      <c r="AG31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162.08053113292502</v>
      </c>
      <c r="AH314"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210.79623626683843</v>
      </c>
      <c r="AI314"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14" s="10">
        <f t="shared" si="24"/>
        <v>352.27030183369641</v>
      </c>
      <c r="AK314" s="10">
        <f t="shared" si="26"/>
        <v>210.79623626683843</v>
      </c>
      <c r="AL314" s="10">
        <f t="shared" si="25"/>
        <v>521.0665381005349</v>
      </c>
      <c r="AM314" s="6"/>
    </row>
    <row r="315" spans="1:39" ht="31.5" customHeight="1">
      <c r="A315" s="21" t="s">
        <v>231</v>
      </c>
      <c r="B315" s="21" t="s">
        <v>629</v>
      </c>
      <c r="C315" s="21" t="s">
        <v>630</v>
      </c>
      <c r="D315" s="21"/>
      <c r="F315" s="21" t="s">
        <v>658</v>
      </c>
      <c r="G315" s="21" t="s">
        <v>642</v>
      </c>
      <c r="H315" s="108" t="s">
        <v>21</v>
      </c>
      <c r="I315" s="108" t="s">
        <v>15</v>
      </c>
      <c r="J315" s="108" t="s">
        <v>8</v>
      </c>
      <c r="K315" s="108" t="s">
        <v>15</v>
      </c>
      <c r="L315" s="1" t="s">
        <v>1054</v>
      </c>
      <c r="M315" s="55" t="s">
        <v>9</v>
      </c>
      <c r="N315" s="55">
        <v>2016</v>
      </c>
      <c r="O315" s="142">
        <v>262</v>
      </c>
      <c r="P315" s="127"/>
      <c r="Q315" s="254">
        <v>111</v>
      </c>
      <c r="R315" s="141">
        <v>60</v>
      </c>
      <c r="S315" s="141">
        <v>31</v>
      </c>
      <c r="T315" s="141">
        <v>11</v>
      </c>
      <c r="U315" s="141">
        <v>0.3</v>
      </c>
      <c r="V315" s="142"/>
      <c r="W315" s="1" t="s">
        <v>13</v>
      </c>
      <c r="X315" s="108" t="s">
        <v>12</v>
      </c>
      <c r="Y315" s="108"/>
      <c r="Z315" s="315" t="s">
        <v>672</v>
      </c>
      <c r="AA315" s="21" t="s">
        <v>669</v>
      </c>
      <c r="AB315" s="21" t="s">
        <v>1286</v>
      </c>
      <c r="AC315" s="117"/>
      <c r="AD31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111</v>
      </c>
      <c r="AE31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58.651026392961882</v>
      </c>
      <c r="AF31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29.738008148214234</v>
      </c>
      <c r="AG31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10.36561536315218</v>
      </c>
      <c r="AH315"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0.27797305881341333</v>
      </c>
      <c r="AI315"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15" s="10">
        <f t="shared" si="24"/>
        <v>209.75464990432829</v>
      </c>
      <c r="AK315" s="10">
        <f t="shared" si="26"/>
        <v>0.27797305881341333</v>
      </c>
      <c r="AL315" s="10">
        <f t="shared" si="25"/>
        <v>99.032622963141705</v>
      </c>
      <c r="AM315" s="6"/>
    </row>
    <row r="316" spans="1:39" ht="31.5" customHeight="1">
      <c r="A316" s="21" t="s">
        <v>231</v>
      </c>
      <c r="B316" s="21" t="s">
        <v>629</v>
      </c>
      <c r="C316" s="21" t="s">
        <v>630</v>
      </c>
      <c r="D316" s="21"/>
      <c r="F316" s="21" t="s">
        <v>659</v>
      </c>
      <c r="G316" s="21" t="s">
        <v>642</v>
      </c>
      <c r="H316" s="108" t="s">
        <v>21</v>
      </c>
      <c r="I316" s="108" t="s">
        <v>15</v>
      </c>
      <c r="J316" s="108" t="s">
        <v>8</v>
      </c>
      <c r="K316" s="108" t="s">
        <v>15</v>
      </c>
      <c r="L316" s="1" t="s">
        <v>1054</v>
      </c>
      <c r="M316" s="55" t="s">
        <v>9</v>
      </c>
      <c r="N316" s="55">
        <v>2026</v>
      </c>
      <c r="O316" s="142">
        <v>364</v>
      </c>
      <c r="P316" s="127"/>
      <c r="Q316" s="254">
        <v>80</v>
      </c>
      <c r="R316" s="141">
        <v>39</v>
      </c>
      <c r="S316" s="141">
        <v>50</v>
      </c>
      <c r="T316" s="141">
        <v>47</v>
      </c>
      <c r="U316" s="141">
        <v>92</v>
      </c>
      <c r="V316" s="142">
        <v>72</v>
      </c>
      <c r="W316" s="1" t="s">
        <v>13</v>
      </c>
      <c r="X316" s="108" t="s">
        <v>12</v>
      </c>
      <c r="Y316" s="108"/>
      <c r="Z316" s="315" t="s">
        <v>672</v>
      </c>
      <c r="AA316" s="21" t="s">
        <v>669</v>
      </c>
      <c r="AB316" s="21" t="s">
        <v>1286</v>
      </c>
      <c r="AC316" s="117"/>
      <c r="AD31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80</v>
      </c>
      <c r="AE31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38.123167155425222</v>
      </c>
      <c r="AF31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47.964529271313282</v>
      </c>
      <c r="AG31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44.289447460741137</v>
      </c>
      <c r="AH316"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85.245071369446748</v>
      </c>
      <c r="AI316"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61.814801586368979</v>
      </c>
      <c r="AJ316" s="10">
        <f t="shared" si="24"/>
        <v>210.37714388747963</v>
      </c>
      <c r="AK316" s="10">
        <f t="shared" si="26"/>
        <v>147.05987295581573</v>
      </c>
      <c r="AL316" s="10">
        <f t="shared" si="25"/>
        <v>277.4370168432954</v>
      </c>
      <c r="AM316" s="6"/>
    </row>
    <row r="317" spans="1:39" ht="31.5" customHeight="1">
      <c r="A317" s="21" t="s">
        <v>231</v>
      </c>
      <c r="B317" s="21" t="s">
        <v>629</v>
      </c>
      <c r="C317" s="21" t="s">
        <v>630</v>
      </c>
      <c r="D317" s="21"/>
      <c r="F317" s="21" t="s">
        <v>660</v>
      </c>
      <c r="G317" s="21" t="s">
        <v>642</v>
      </c>
      <c r="H317" s="108" t="s">
        <v>21</v>
      </c>
      <c r="I317" s="108" t="s">
        <v>15</v>
      </c>
      <c r="J317" s="108" t="s">
        <v>8</v>
      </c>
      <c r="K317" s="108" t="s">
        <v>15</v>
      </c>
      <c r="L317" s="1" t="s">
        <v>932</v>
      </c>
      <c r="M317" s="55">
        <v>2016</v>
      </c>
      <c r="N317" s="55">
        <v>2019</v>
      </c>
      <c r="O317" s="142">
        <v>26</v>
      </c>
      <c r="P317" s="127"/>
      <c r="Q317" s="254"/>
      <c r="R317" s="141"/>
      <c r="S317" s="141"/>
      <c r="T317" s="141">
        <v>2</v>
      </c>
      <c r="U317" s="141">
        <v>24</v>
      </c>
      <c r="V317" s="142"/>
      <c r="W317" s="1" t="s">
        <v>13</v>
      </c>
      <c r="X317" s="108" t="s">
        <v>12</v>
      </c>
      <c r="Y317" s="108"/>
      <c r="Z317" s="315" t="s">
        <v>672</v>
      </c>
      <c r="AA317" s="21" t="s">
        <v>669</v>
      </c>
      <c r="AB317" s="21" t="s">
        <v>1286</v>
      </c>
      <c r="AC317" s="117"/>
      <c r="AD31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31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31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31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1.8846573387549421</v>
      </c>
      <c r="AH317"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22.237844705073066</v>
      </c>
      <c r="AI317"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17" s="10">
        <f t="shared" si="24"/>
        <v>1.8846573387549421</v>
      </c>
      <c r="AK317" s="10">
        <f t="shared" si="26"/>
        <v>22.237844705073066</v>
      </c>
      <c r="AL317" s="10">
        <f t="shared" si="25"/>
        <v>24.122502043828007</v>
      </c>
      <c r="AM317" s="6"/>
    </row>
    <row r="318" spans="1:39" ht="31.5" customHeight="1">
      <c r="A318" s="21" t="s">
        <v>231</v>
      </c>
      <c r="B318" s="21" t="s">
        <v>629</v>
      </c>
      <c r="C318" s="21" t="s">
        <v>630</v>
      </c>
      <c r="D318" s="21"/>
      <c r="F318" s="21" t="s">
        <v>661</v>
      </c>
      <c r="G318" s="21" t="s">
        <v>642</v>
      </c>
      <c r="H318" s="108" t="s">
        <v>21</v>
      </c>
      <c r="I318" s="108" t="s">
        <v>15</v>
      </c>
      <c r="J318" s="108" t="s">
        <v>8</v>
      </c>
      <c r="K318" s="108" t="s">
        <v>15</v>
      </c>
      <c r="L318" s="1" t="s">
        <v>1054</v>
      </c>
      <c r="M318" s="55" t="s">
        <v>9</v>
      </c>
      <c r="N318" s="55">
        <v>2022</v>
      </c>
      <c r="O318" s="142">
        <v>403</v>
      </c>
      <c r="P318" s="127"/>
      <c r="Q318" s="254">
        <v>19</v>
      </c>
      <c r="R318" s="141">
        <v>54</v>
      </c>
      <c r="S318" s="141">
        <v>36</v>
      </c>
      <c r="T318" s="141">
        <v>85</v>
      </c>
      <c r="U318" s="141">
        <v>107</v>
      </c>
      <c r="V318" s="142">
        <v>6.1</v>
      </c>
      <c r="W318" s="1" t="s">
        <v>13</v>
      </c>
      <c r="X318" s="108" t="s">
        <v>12</v>
      </c>
      <c r="Y318" s="108"/>
      <c r="Z318" s="315" t="s">
        <v>672</v>
      </c>
      <c r="AA318" s="21" t="s">
        <v>669</v>
      </c>
      <c r="AB318" s="21" t="s">
        <v>1286</v>
      </c>
      <c r="AC318" s="117"/>
      <c r="AD31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19</v>
      </c>
      <c r="AE31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52.785923753665692</v>
      </c>
      <c r="AF31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34.534461075345561</v>
      </c>
      <c r="AG31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80.097936897085035</v>
      </c>
      <c r="AH318"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99.14372431011742</v>
      </c>
      <c r="AI318"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5.2370873566229275</v>
      </c>
      <c r="AJ318" s="10">
        <f t="shared" si="24"/>
        <v>186.41832172609628</v>
      </c>
      <c r="AK318" s="10">
        <f t="shared" si="26"/>
        <v>104.38081166674034</v>
      </c>
      <c r="AL318" s="10">
        <f t="shared" si="25"/>
        <v>271.79913339283661</v>
      </c>
      <c r="AM318" s="6"/>
    </row>
    <row r="319" spans="1:39" ht="31.5" customHeight="1">
      <c r="A319" s="21" t="s">
        <v>231</v>
      </c>
      <c r="B319" s="21" t="s">
        <v>629</v>
      </c>
      <c r="C319" s="21" t="s">
        <v>630</v>
      </c>
      <c r="D319" s="21"/>
      <c r="F319" s="21" t="s">
        <v>662</v>
      </c>
      <c r="G319" s="21" t="s">
        <v>642</v>
      </c>
      <c r="H319" s="108" t="s">
        <v>21</v>
      </c>
      <c r="I319" s="108" t="s">
        <v>15</v>
      </c>
      <c r="J319" s="108" t="s">
        <v>8</v>
      </c>
      <c r="K319" s="108" t="s">
        <v>15</v>
      </c>
      <c r="L319" s="1" t="s">
        <v>1054</v>
      </c>
      <c r="M319" s="55" t="s">
        <v>9</v>
      </c>
      <c r="N319" s="55">
        <v>2018</v>
      </c>
      <c r="O319" s="142">
        <v>318</v>
      </c>
      <c r="P319" s="127"/>
      <c r="Q319" s="254">
        <v>64</v>
      </c>
      <c r="R319" s="141">
        <v>52</v>
      </c>
      <c r="S319" s="141">
        <v>34.5</v>
      </c>
      <c r="T319" s="141">
        <v>71</v>
      </c>
      <c r="U319" s="141">
        <v>69.3</v>
      </c>
      <c r="V319" s="142"/>
      <c r="W319" s="1" t="s">
        <v>13</v>
      </c>
      <c r="X319" s="108" t="s">
        <v>12</v>
      </c>
      <c r="Y319" s="108"/>
      <c r="Z319" s="315" t="s">
        <v>672</v>
      </c>
      <c r="AA319" s="21" t="s">
        <v>669</v>
      </c>
      <c r="AB319" s="21" t="s">
        <v>1286</v>
      </c>
      <c r="AC319" s="117"/>
      <c r="AD31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64</v>
      </c>
      <c r="AE31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50.830889540566965</v>
      </c>
      <c r="AF31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33.095525197206165</v>
      </c>
      <c r="AG31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66.905335525800439</v>
      </c>
      <c r="AH319"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64.211776585898477</v>
      </c>
      <c r="AI319"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19" s="10">
        <f t="shared" si="24"/>
        <v>214.83175026357358</v>
      </c>
      <c r="AK319" s="10">
        <f t="shared" si="26"/>
        <v>64.211776585898477</v>
      </c>
      <c r="AL319" s="10">
        <f t="shared" si="25"/>
        <v>215.04352684947207</v>
      </c>
      <c r="AM319" s="6"/>
    </row>
    <row r="320" spans="1:39" ht="31.5" customHeight="1">
      <c r="A320" s="21" t="s">
        <v>231</v>
      </c>
      <c r="B320" s="21" t="s">
        <v>629</v>
      </c>
      <c r="C320" s="21" t="s">
        <v>630</v>
      </c>
      <c r="D320" s="21"/>
      <c r="F320" s="21" t="s">
        <v>663</v>
      </c>
      <c r="G320" s="21" t="s">
        <v>642</v>
      </c>
      <c r="H320" s="108" t="s">
        <v>21</v>
      </c>
      <c r="I320" s="108" t="s">
        <v>15</v>
      </c>
      <c r="J320" s="108" t="s">
        <v>8</v>
      </c>
      <c r="K320" s="108" t="s">
        <v>15</v>
      </c>
      <c r="L320" s="1" t="s">
        <v>932</v>
      </c>
      <c r="M320" s="55">
        <v>2016</v>
      </c>
      <c r="N320" s="55">
        <v>2020</v>
      </c>
      <c r="O320" s="142">
        <v>123.5</v>
      </c>
      <c r="P320" s="127"/>
      <c r="Q320" s="254"/>
      <c r="R320" s="141"/>
      <c r="S320" s="141"/>
      <c r="T320" s="141">
        <v>16.5</v>
      </c>
      <c r="U320" s="141">
        <v>106.7</v>
      </c>
      <c r="V320" s="142">
        <v>0.04</v>
      </c>
      <c r="W320" s="1" t="s">
        <v>13</v>
      </c>
      <c r="X320" s="108" t="s">
        <v>12</v>
      </c>
      <c r="Y320" s="108"/>
      <c r="Z320" s="315" t="s">
        <v>672</v>
      </c>
      <c r="AA320" s="21" t="s">
        <v>669</v>
      </c>
      <c r="AB320" s="21" t="s">
        <v>1286</v>
      </c>
      <c r="AC320" s="117"/>
      <c r="AD32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32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32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32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15.548423044728272</v>
      </c>
      <c r="AH320"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98.865751251304005</v>
      </c>
      <c r="AI320"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3.4341556436871652E-2</v>
      </c>
      <c r="AJ320" s="10">
        <f t="shared" si="24"/>
        <v>15.548423044728272</v>
      </c>
      <c r="AK320" s="10">
        <f t="shared" si="26"/>
        <v>98.900092807740876</v>
      </c>
      <c r="AL320" s="10">
        <f t="shared" si="25"/>
        <v>114.44851585246914</v>
      </c>
      <c r="AM320" s="6"/>
    </row>
    <row r="321" spans="1:39" ht="31.5" customHeight="1">
      <c r="A321" s="21" t="s">
        <v>231</v>
      </c>
      <c r="B321" s="21" t="s">
        <v>629</v>
      </c>
      <c r="C321" s="21" t="s">
        <v>630</v>
      </c>
      <c r="D321" s="21"/>
      <c r="F321" s="21" t="s">
        <v>664</v>
      </c>
      <c r="G321" s="21" t="s">
        <v>642</v>
      </c>
      <c r="H321" s="108" t="s">
        <v>21</v>
      </c>
      <c r="I321" s="108" t="s">
        <v>15</v>
      </c>
      <c r="J321" s="108" t="s">
        <v>8</v>
      </c>
      <c r="K321" s="108" t="s">
        <v>15</v>
      </c>
      <c r="L321" s="1" t="s">
        <v>932</v>
      </c>
      <c r="M321" s="55">
        <v>2018</v>
      </c>
      <c r="N321" s="101" t="s">
        <v>27</v>
      </c>
      <c r="O321" s="142">
        <v>624.25</v>
      </c>
      <c r="P321" s="127"/>
      <c r="Q321" s="254"/>
      <c r="R321" s="141"/>
      <c r="S321" s="141"/>
      <c r="T321" s="141">
        <v>11.25</v>
      </c>
      <c r="U321" s="141">
        <v>130</v>
      </c>
      <c r="V321" s="142">
        <v>483</v>
      </c>
      <c r="W321" s="1" t="s">
        <v>13</v>
      </c>
      <c r="X321" s="108" t="s">
        <v>12</v>
      </c>
      <c r="Y321" s="108"/>
      <c r="Z321" s="315" t="s">
        <v>672</v>
      </c>
      <c r="AA321" s="21" t="s">
        <v>669</v>
      </c>
      <c r="AB321" s="21" t="s">
        <v>1286</v>
      </c>
      <c r="AC321" s="117"/>
      <c r="AD32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32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32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32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10.601197530496549</v>
      </c>
      <c r="AH321"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120.45499215247911</v>
      </c>
      <c r="AI321"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414.67429397522523</v>
      </c>
      <c r="AJ321" s="10">
        <f t="shared" si="24"/>
        <v>10.601197530496549</v>
      </c>
      <c r="AK321" s="10">
        <f t="shared" si="26"/>
        <v>535.12928612770429</v>
      </c>
      <c r="AL321" s="10">
        <f t="shared" si="25"/>
        <v>545.7304836582008</v>
      </c>
      <c r="AM321" s="6"/>
    </row>
    <row r="322" spans="1:39" ht="31.5" customHeight="1">
      <c r="A322" s="21" t="s">
        <v>231</v>
      </c>
      <c r="B322" s="21" t="s">
        <v>629</v>
      </c>
      <c r="C322" s="21" t="s">
        <v>630</v>
      </c>
      <c r="D322" s="21"/>
      <c r="F322" s="21" t="s">
        <v>665</v>
      </c>
      <c r="G322" s="21" t="s">
        <v>642</v>
      </c>
      <c r="H322" s="108" t="s">
        <v>21</v>
      </c>
      <c r="I322" s="108" t="s">
        <v>15</v>
      </c>
      <c r="J322" s="108" t="s">
        <v>8</v>
      </c>
      <c r="K322" s="108" t="s">
        <v>15</v>
      </c>
      <c r="L322" s="1" t="s">
        <v>1054</v>
      </c>
      <c r="M322" s="55" t="s">
        <v>9</v>
      </c>
      <c r="N322" s="101" t="s">
        <v>27</v>
      </c>
      <c r="O322" s="142">
        <v>41.5</v>
      </c>
      <c r="P322" s="127"/>
      <c r="Q322" s="254">
        <v>5.2</v>
      </c>
      <c r="R322" s="141">
        <v>1.25</v>
      </c>
      <c r="S322" s="141">
        <v>4.5</v>
      </c>
      <c r="T322" s="141">
        <v>10.5</v>
      </c>
      <c r="U322" s="141">
        <v>20.100000000000001</v>
      </c>
      <c r="V322" s="142"/>
      <c r="W322" s="1" t="s">
        <v>13</v>
      </c>
      <c r="X322" s="108" t="s">
        <v>12</v>
      </c>
      <c r="Y322" s="108"/>
      <c r="Z322" s="315" t="s">
        <v>672</v>
      </c>
      <c r="AA322" s="21" t="s">
        <v>669</v>
      </c>
      <c r="AB322" s="21" t="s">
        <v>1286</v>
      </c>
      <c r="AC322" s="117"/>
      <c r="AD32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5.2</v>
      </c>
      <c r="AE32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1.2218963831867058</v>
      </c>
      <c r="AF32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4.3168076344181951</v>
      </c>
      <c r="AG32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9.894451028463445</v>
      </c>
      <c r="AH322"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18.624194940498693</v>
      </c>
      <c r="AI322"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22" s="10">
        <f t="shared" ref="AJ322:AJ385" si="28">SUM(AD322:AG322)</f>
        <v>20.633155046068346</v>
      </c>
      <c r="AK322" s="10">
        <f t="shared" si="26"/>
        <v>18.624194940498693</v>
      </c>
      <c r="AL322" s="10">
        <f t="shared" ref="AL322:AL385" si="29">+AJ322+AK322-AD322</f>
        <v>34.057349986567033</v>
      </c>
      <c r="AM322" s="6"/>
    </row>
    <row r="323" spans="1:39" ht="31.5" customHeight="1">
      <c r="A323" s="13" t="s">
        <v>231</v>
      </c>
      <c r="B323" s="13" t="s">
        <v>429</v>
      </c>
      <c r="C323" s="18" t="s">
        <v>429</v>
      </c>
      <c r="D323" s="19" t="s">
        <v>430</v>
      </c>
      <c r="E323" s="24"/>
      <c r="F323" s="19"/>
      <c r="G323" s="19" t="s">
        <v>431</v>
      </c>
      <c r="H323" s="64" t="s">
        <v>6</v>
      </c>
      <c r="I323" s="67" t="s">
        <v>7</v>
      </c>
      <c r="J323" s="51" t="s">
        <v>10</v>
      </c>
      <c r="K323" s="110" t="s">
        <v>7</v>
      </c>
      <c r="L323" s="51" t="s">
        <v>1000</v>
      </c>
      <c r="M323" s="85">
        <v>2013</v>
      </c>
      <c r="N323" s="85">
        <v>2020</v>
      </c>
      <c r="O323" s="48">
        <v>6035.0950331498379</v>
      </c>
      <c r="P323" s="14"/>
      <c r="Q323" s="258"/>
      <c r="R323" s="48">
        <v>16.426505714542511</v>
      </c>
      <c r="S323" s="48">
        <v>81.792976177327859</v>
      </c>
      <c r="T323" s="48">
        <v>146.89909001447219</v>
      </c>
      <c r="U323" s="159">
        <v>1502.05</v>
      </c>
      <c r="V323" s="48">
        <v>4287.92</v>
      </c>
      <c r="W323" s="110" t="s">
        <v>13</v>
      </c>
      <c r="X323" s="51" t="s">
        <v>19</v>
      </c>
      <c r="Y323" s="174" t="s">
        <v>232</v>
      </c>
      <c r="Z323" s="316" t="s">
        <v>1064</v>
      </c>
      <c r="AA323" s="6" t="s">
        <v>959</v>
      </c>
      <c r="AB323" s="15" t="s">
        <v>1284</v>
      </c>
      <c r="AC323" s="117" t="s">
        <v>10</v>
      </c>
      <c r="AD323" s="77">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32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16.717048008937851</v>
      </c>
      <c r="AF32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83.239681847843372</v>
      </c>
      <c r="AG32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149.49735402746961</v>
      </c>
      <c r="AH323"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1528.6173698886651</v>
      </c>
      <c r="AI323"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4363.7621868067008</v>
      </c>
      <c r="AJ323" s="32">
        <f t="shared" si="28"/>
        <v>249.45408388425085</v>
      </c>
      <c r="AK323" s="32">
        <f t="shared" si="26"/>
        <v>5892.3795566953659</v>
      </c>
      <c r="AL323" s="32">
        <f t="shared" si="29"/>
        <v>6141.8336405796163</v>
      </c>
      <c r="AM323" s="6"/>
    </row>
    <row r="324" spans="1:39" ht="31.5" customHeight="1">
      <c r="A324" s="37" t="s">
        <v>30</v>
      </c>
      <c r="B324" s="37" t="s">
        <v>30</v>
      </c>
      <c r="C324" s="5" t="s">
        <v>830</v>
      </c>
      <c r="E324" s="7"/>
      <c r="F324" s="83" t="s">
        <v>831</v>
      </c>
      <c r="G324" s="12"/>
      <c r="H324" s="57" t="s">
        <v>21</v>
      </c>
      <c r="I324" s="54" t="s">
        <v>15</v>
      </c>
      <c r="J324" s="51" t="s">
        <v>8</v>
      </c>
      <c r="K324" s="57" t="s">
        <v>15</v>
      </c>
      <c r="L324" s="51" t="s">
        <v>1054</v>
      </c>
      <c r="M324" s="55">
        <v>2013</v>
      </c>
      <c r="N324" s="55">
        <v>2025</v>
      </c>
      <c r="O324" s="146">
        <v>23.1</v>
      </c>
      <c r="P324" s="102"/>
      <c r="Q324" s="260">
        <v>0.16700000000000001</v>
      </c>
      <c r="R324" s="146">
        <v>5.6</v>
      </c>
      <c r="S324" s="146">
        <v>15.3</v>
      </c>
      <c r="T324" s="146">
        <v>2.2000000000000002</v>
      </c>
      <c r="U324" s="146"/>
      <c r="V324" s="146"/>
      <c r="W324" s="57" t="s">
        <v>13</v>
      </c>
      <c r="X324" s="57" t="s">
        <v>12</v>
      </c>
      <c r="Y324" s="54"/>
      <c r="Z324" s="292" t="s">
        <v>1021</v>
      </c>
      <c r="AA324" s="5" t="s">
        <v>816</v>
      </c>
      <c r="AB324" s="26" t="s">
        <v>1274</v>
      </c>
      <c r="AC324" s="117"/>
      <c r="AD32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0.16699999999999998</v>
      </c>
      <c r="AE32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5.4740957966764423</v>
      </c>
      <c r="AF32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14.677145957021864</v>
      </c>
      <c r="AG32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2.0731230726304366</v>
      </c>
      <c r="AH324"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324"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24" s="10">
        <f t="shared" si="28"/>
        <v>22.391364826328743</v>
      </c>
      <c r="AK324" s="10">
        <f t="shared" si="26"/>
        <v>0</v>
      </c>
      <c r="AL324" s="10">
        <f t="shared" si="29"/>
        <v>22.224364826328742</v>
      </c>
      <c r="AM324" s="6"/>
    </row>
    <row r="325" spans="1:39" ht="31.5" customHeight="1">
      <c r="A325" s="37" t="s">
        <v>30</v>
      </c>
      <c r="B325" s="37" t="s">
        <v>30</v>
      </c>
      <c r="C325" s="5" t="s">
        <v>830</v>
      </c>
      <c r="E325" s="84"/>
      <c r="F325" s="83" t="s">
        <v>832</v>
      </c>
      <c r="G325" s="12" t="s">
        <v>833</v>
      </c>
      <c r="H325" s="57" t="s">
        <v>25</v>
      </c>
      <c r="I325" s="54" t="s">
        <v>15</v>
      </c>
      <c r="J325" s="51" t="s">
        <v>8</v>
      </c>
      <c r="K325" s="57" t="s">
        <v>15</v>
      </c>
      <c r="L325" s="51" t="s">
        <v>444</v>
      </c>
      <c r="M325" s="55">
        <v>2019</v>
      </c>
      <c r="N325" s="55">
        <v>2025</v>
      </c>
      <c r="O325" s="146">
        <v>26.701293629999999</v>
      </c>
      <c r="P325" s="102"/>
      <c r="Q325" s="260"/>
      <c r="R325" s="146">
        <v>0.33151815999999995</v>
      </c>
      <c r="S325" s="146">
        <v>16.207999999999998</v>
      </c>
      <c r="T325" s="146">
        <v>9</v>
      </c>
      <c r="U325" s="146">
        <v>0.05</v>
      </c>
      <c r="V325" s="146"/>
      <c r="W325" s="57" t="s">
        <v>13</v>
      </c>
      <c r="X325" s="57" t="s">
        <v>12</v>
      </c>
      <c r="Y325" s="54"/>
      <c r="Z325" s="292" t="s">
        <v>1021</v>
      </c>
      <c r="AA325" s="5" t="s">
        <v>816</v>
      </c>
      <c r="AB325" s="26" t="s">
        <v>1274</v>
      </c>
      <c r="AC325" s="117"/>
      <c r="AD32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32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0.32406467253176929</v>
      </c>
      <c r="AF32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15.548181808588911</v>
      </c>
      <c r="AG32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8.4809580243972391</v>
      </c>
      <c r="AH325"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4.6328843135568884E-2</v>
      </c>
      <c r="AI325"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25" s="10">
        <f t="shared" si="28"/>
        <v>24.353204505517919</v>
      </c>
      <c r="AK325" s="10">
        <f t="shared" si="26"/>
        <v>4.6328843135568884E-2</v>
      </c>
      <c r="AL325" s="10">
        <f t="shared" si="29"/>
        <v>24.399533348653488</v>
      </c>
      <c r="AM325" s="6"/>
    </row>
    <row r="326" spans="1:39" ht="31.5" customHeight="1">
      <c r="A326" s="37" t="s">
        <v>30</v>
      </c>
      <c r="B326" s="37" t="s">
        <v>30</v>
      </c>
      <c r="C326" s="5" t="s">
        <v>830</v>
      </c>
      <c r="E326" s="84"/>
      <c r="F326" s="83" t="s">
        <v>834</v>
      </c>
      <c r="G326" s="12" t="s">
        <v>835</v>
      </c>
      <c r="H326" s="57" t="s">
        <v>21</v>
      </c>
      <c r="I326" s="54" t="s">
        <v>15</v>
      </c>
      <c r="J326" s="51" t="s">
        <v>8</v>
      </c>
      <c r="K326" s="57" t="s">
        <v>15</v>
      </c>
      <c r="L326" s="51" t="s">
        <v>444</v>
      </c>
      <c r="M326" s="55">
        <v>2021</v>
      </c>
      <c r="N326" s="55">
        <v>2025</v>
      </c>
      <c r="O326" s="102">
        <v>4.8710000000000004</v>
      </c>
      <c r="P326" s="102"/>
      <c r="Q326" s="260"/>
      <c r="R326" s="146">
        <v>8.073575999999999E-2</v>
      </c>
      <c r="S326" s="146">
        <v>2.468</v>
      </c>
      <c r="T326" s="146">
        <v>2.4830000000000001</v>
      </c>
      <c r="U326" s="146"/>
      <c r="V326" s="146"/>
      <c r="W326" s="57" t="s">
        <v>13</v>
      </c>
      <c r="X326" s="57" t="s">
        <v>12</v>
      </c>
      <c r="Y326" s="54"/>
      <c r="Z326" s="292" t="s">
        <v>1021</v>
      </c>
      <c r="AA326" s="5" t="s">
        <v>816</v>
      </c>
      <c r="AB326" s="26" t="s">
        <v>1274</v>
      </c>
      <c r="AC326" s="117"/>
      <c r="AD32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32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7.8920586510263929E-2</v>
      </c>
      <c r="AF32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2.3675291648320238</v>
      </c>
      <c r="AG32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2.3398020860642608</v>
      </c>
      <c r="AH326"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326"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26" s="10">
        <f t="shared" si="28"/>
        <v>4.7862518374065486</v>
      </c>
      <c r="AK326" s="10">
        <f t="shared" si="26"/>
        <v>0</v>
      </c>
      <c r="AL326" s="10">
        <f t="shared" si="29"/>
        <v>4.7862518374065486</v>
      </c>
      <c r="AM326" s="6"/>
    </row>
    <row r="327" spans="1:39" ht="31.5" customHeight="1">
      <c r="A327" s="37" t="s">
        <v>30</v>
      </c>
      <c r="B327" s="37" t="s">
        <v>30</v>
      </c>
      <c r="C327" s="5" t="s">
        <v>830</v>
      </c>
      <c r="E327" s="84"/>
      <c r="F327" s="83" t="s">
        <v>836</v>
      </c>
      <c r="G327" s="12" t="s">
        <v>837</v>
      </c>
      <c r="H327" s="57" t="s">
        <v>21</v>
      </c>
      <c r="I327" s="54" t="s">
        <v>15</v>
      </c>
      <c r="J327" s="51" t="s">
        <v>8</v>
      </c>
      <c r="K327" s="57" t="s">
        <v>15</v>
      </c>
      <c r="L327" s="51" t="s">
        <v>444</v>
      </c>
      <c r="M327" s="55">
        <v>2018</v>
      </c>
      <c r="N327" s="55">
        <v>2021</v>
      </c>
      <c r="O327" s="102">
        <v>4.048</v>
      </c>
      <c r="P327" s="102"/>
      <c r="Q327" s="260">
        <v>0.57185229999999998</v>
      </c>
      <c r="R327" s="146">
        <v>0.27603842000000001</v>
      </c>
      <c r="S327" s="146">
        <v>0.94099999999999995</v>
      </c>
      <c r="T327" s="146">
        <v>3.1</v>
      </c>
      <c r="U327" s="146"/>
      <c r="V327" s="146"/>
      <c r="W327" s="57" t="s">
        <v>13</v>
      </c>
      <c r="X327" s="57" t="s">
        <v>12</v>
      </c>
      <c r="Y327" s="54"/>
      <c r="Z327" s="292" t="s">
        <v>1021</v>
      </c>
      <c r="AA327" s="5" t="s">
        <v>816</v>
      </c>
      <c r="AB327" s="26" t="s">
        <v>1274</v>
      </c>
      <c r="AC327" s="117"/>
      <c r="AD32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0.57185229999999998</v>
      </c>
      <c r="AE32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0.26983227761485828</v>
      </c>
      <c r="AF32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0.90269244088611589</v>
      </c>
      <c r="AG32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2.92121887507016</v>
      </c>
      <c r="AH327"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327"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27" s="10">
        <f t="shared" si="28"/>
        <v>4.6655958935711341</v>
      </c>
      <c r="AK327" s="10">
        <f t="shared" si="26"/>
        <v>0</v>
      </c>
      <c r="AL327" s="10">
        <f t="shared" si="29"/>
        <v>4.0937435935711344</v>
      </c>
      <c r="AM327" s="6"/>
    </row>
    <row r="328" spans="1:39" ht="31.5" customHeight="1">
      <c r="A328" s="37" t="s">
        <v>30</v>
      </c>
      <c r="B328" s="37" t="s">
        <v>30</v>
      </c>
      <c r="C328" s="5" t="s">
        <v>830</v>
      </c>
      <c r="E328" s="84"/>
      <c r="F328" s="83" t="s">
        <v>838</v>
      </c>
      <c r="G328" s="12"/>
      <c r="H328" s="57" t="s">
        <v>16</v>
      </c>
      <c r="I328" s="54" t="s">
        <v>15</v>
      </c>
      <c r="J328" s="51" t="s">
        <v>8</v>
      </c>
      <c r="K328" s="57" t="s">
        <v>15</v>
      </c>
      <c r="L328" s="51" t="s">
        <v>444</v>
      </c>
      <c r="M328" s="55">
        <v>2018</v>
      </c>
      <c r="N328" s="55">
        <v>2022</v>
      </c>
      <c r="O328" s="102">
        <v>8.8116000000000003</v>
      </c>
      <c r="P328" s="102"/>
      <c r="Q328" s="260"/>
      <c r="R328" s="146">
        <v>0.39841399999999999</v>
      </c>
      <c r="S328" s="146">
        <v>0.47049999999999997</v>
      </c>
      <c r="T328" s="146">
        <v>0.42</v>
      </c>
      <c r="U328" s="146">
        <v>7.35</v>
      </c>
      <c r="V328" s="146"/>
      <c r="W328" s="57" t="s">
        <v>13</v>
      </c>
      <c r="X328" s="57" t="s">
        <v>12</v>
      </c>
      <c r="Y328" s="54"/>
      <c r="Z328" s="292" t="s">
        <v>1021</v>
      </c>
      <c r="AA328" s="5" t="s">
        <v>816</v>
      </c>
      <c r="AB328" s="26" t="s">
        <v>1274</v>
      </c>
      <c r="AC328" s="117"/>
      <c r="AD32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32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0.38945650048875857</v>
      </c>
      <c r="AF32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0.45134622044305794</v>
      </c>
      <c r="AG32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0.39577804113853782</v>
      </c>
      <c r="AH328"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6.8103399409286265</v>
      </c>
      <c r="AI328"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28" s="10">
        <f t="shared" si="28"/>
        <v>1.2365807620703544</v>
      </c>
      <c r="AK328" s="10">
        <f t="shared" si="26"/>
        <v>6.8103399409286265</v>
      </c>
      <c r="AL328" s="10">
        <f t="shared" si="29"/>
        <v>8.0469207029989818</v>
      </c>
      <c r="AM328" s="6"/>
    </row>
    <row r="329" spans="1:39" ht="31.5" customHeight="1">
      <c r="A329" s="37" t="s">
        <v>30</v>
      </c>
      <c r="B329" s="37" t="s">
        <v>30</v>
      </c>
      <c r="C329" s="5" t="s">
        <v>830</v>
      </c>
      <c r="E329" s="84"/>
      <c r="F329" s="83" t="s">
        <v>839</v>
      </c>
      <c r="G329" s="12" t="s">
        <v>840</v>
      </c>
      <c r="H329" s="57" t="s">
        <v>16</v>
      </c>
      <c r="I329" s="54" t="s">
        <v>15</v>
      </c>
      <c r="J329" s="51" t="s">
        <v>8</v>
      </c>
      <c r="K329" s="57" t="s">
        <v>15</v>
      </c>
      <c r="L329" s="51" t="s">
        <v>449</v>
      </c>
      <c r="M329" s="55">
        <v>2018</v>
      </c>
      <c r="N329" s="55">
        <v>2023</v>
      </c>
      <c r="O329" s="102">
        <v>4.2480000000000002</v>
      </c>
      <c r="P329" s="102"/>
      <c r="Q329" s="260">
        <v>0.89</v>
      </c>
      <c r="R329" s="146">
        <v>1.0974999999999999</v>
      </c>
      <c r="S329" s="146"/>
      <c r="T329" s="146"/>
      <c r="U329" s="146"/>
      <c r="V329" s="146"/>
      <c r="W329" s="57" t="s">
        <v>841</v>
      </c>
      <c r="X329" s="57" t="s">
        <v>12</v>
      </c>
      <c r="Y329" s="54"/>
      <c r="Z329" s="292" t="s">
        <v>1021</v>
      </c>
      <c r="AA329" s="5" t="s">
        <v>816</v>
      </c>
      <c r="AB329" s="26" t="s">
        <v>1274</v>
      </c>
      <c r="AC329" s="117"/>
      <c r="AD32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0.89</v>
      </c>
      <c r="AE32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1.0728250244379276</v>
      </c>
      <c r="AF32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32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329"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329"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29" s="10">
        <f t="shared" si="28"/>
        <v>1.9628250244379277</v>
      </c>
      <c r="AK329" s="10">
        <f t="shared" si="26"/>
        <v>0</v>
      </c>
      <c r="AL329" s="10">
        <f t="shared" si="29"/>
        <v>1.0728250244379276</v>
      </c>
      <c r="AM329" s="6"/>
    </row>
    <row r="330" spans="1:39" ht="31.5" customHeight="1">
      <c r="A330" s="5" t="s">
        <v>30</v>
      </c>
      <c r="B330" s="5" t="s">
        <v>30</v>
      </c>
      <c r="C330" s="5" t="s">
        <v>830</v>
      </c>
      <c r="D330" s="11"/>
      <c r="E330" s="84"/>
      <c r="F330" s="83" t="s">
        <v>875</v>
      </c>
      <c r="G330" s="11" t="s">
        <v>345</v>
      </c>
      <c r="H330" s="57" t="s">
        <v>26</v>
      </c>
      <c r="I330" s="57" t="s">
        <v>15</v>
      </c>
      <c r="J330" s="51" t="s">
        <v>8</v>
      </c>
      <c r="K330" s="57" t="s">
        <v>15</v>
      </c>
      <c r="L330" s="51" t="s">
        <v>1054</v>
      </c>
      <c r="M330" s="55">
        <v>2013</v>
      </c>
      <c r="N330" s="55">
        <v>2025</v>
      </c>
      <c r="O330" s="102">
        <v>25.119202770000001</v>
      </c>
      <c r="P330" s="102"/>
      <c r="Q330" s="260">
        <v>0.11679</v>
      </c>
      <c r="R330" s="146">
        <v>7.2784631399999995</v>
      </c>
      <c r="S330" s="146">
        <v>9.9281101500000002</v>
      </c>
      <c r="T330" s="146">
        <v>8.1083909999999992</v>
      </c>
      <c r="U330" s="146">
        <v>0.01</v>
      </c>
      <c r="V330" s="146"/>
      <c r="W330" s="57" t="s">
        <v>13</v>
      </c>
      <c r="X330" s="57" t="s">
        <v>12</v>
      </c>
      <c r="Y330" s="54"/>
      <c r="Z330" s="292" t="s">
        <v>1021</v>
      </c>
      <c r="AA330" s="5" t="s">
        <v>816</v>
      </c>
      <c r="AB330" s="26" t="s">
        <v>1274</v>
      </c>
      <c r="AC330" s="117"/>
      <c r="AD33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0.11679</v>
      </c>
      <c r="AE33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7.1148222287390022</v>
      </c>
      <c r="AF33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9.5239425979699508</v>
      </c>
      <c r="AG33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7.6407693018222611</v>
      </c>
      <c r="AH330"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9.2657686271137782E-3</v>
      </c>
      <c r="AI330"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30" s="10">
        <f t="shared" si="28"/>
        <v>24.396324128531212</v>
      </c>
      <c r="AK330" s="10">
        <f t="shared" si="26"/>
        <v>9.2657686271137782E-3</v>
      </c>
      <c r="AL330" s="10">
        <f t="shared" si="29"/>
        <v>24.288799897158324</v>
      </c>
      <c r="AM330" s="6"/>
    </row>
    <row r="331" spans="1:39" ht="31.5" customHeight="1">
      <c r="A331" s="37" t="s">
        <v>30</v>
      </c>
      <c r="B331" s="37" t="s">
        <v>30</v>
      </c>
      <c r="C331" s="5" t="s">
        <v>830</v>
      </c>
      <c r="E331" s="84"/>
      <c r="F331" s="83" t="s">
        <v>842</v>
      </c>
      <c r="G331" s="12" t="s">
        <v>843</v>
      </c>
      <c r="H331" s="65" t="s">
        <v>22</v>
      </c>
      <c r="I331" s="54" t="s">
        <v>15</v>
      </c>
      <c r="J331" s="51" t="s">
        <v>8</v>
      </c>
      <c r="K331" s="57" t="s">
        <v>15</v>
      </c>
      <c r="L331" s="51" t="s">
        <v>444</v>
      </c>
      <c r="M331" s="55">
        <v>2018</v>
      </c>
      <c r="N331" s="55">
        <v>2024</v>
      </c>
      <c r="O331" s="102">
        <v>3.7450000000000001</v>
      </c>
      <c r="P331" s="102"/>
      <c r="Q331" s="260"/>
      <c r="R331" s="146">
        <v>0.08</v>
      </c>
      <c r="S331" s="146">
        <v>6.73</v>
      </c>
      <c r="T331" s="146">
        <v>1.42</v>
      </c>
      <c r="U331" s="146"/>
      <c r="V331" s="146"/>
      <c r="W331" s="57" t="s">
        <v>13</v>
      </c>
      <c r="X331" s="57" t="s">
        <v>12</v>
      </c>
      <c r="Y331" s="54"/>
      <c r="Z331" s="292" t="s">
        <v>1021</v>
      </c>
      <c r="AA331" s="5" t="s">
        <v>816</v>
      </c>
      <c r="AB331" s="26" t="s">
        <v>1274</v>
      </c>
      <c r="AC331" s="117"/>
      <c r="AD33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33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7.8201368523949169E-2</v>
      </c>
      <c r="AF33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6.4560256399187681</v>
      </c>
      <c r="AG33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1.3381067105160089</v>
      </c>
      <c r="AH331"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331"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31" s="10">
        <f t="shared" si="28"/>
        <v>7.8723337189587266</v>
      </c>
      <c r="AK331" s="10">
        <f t="shared" ref="AK331:AK395" si="30">+SUM(AH331:AI331)</f>
        <v>0</v>
      </c>
      <c r="AL331" s="10">
        <f t="shared" si="29"/>
        <v>7.8723337189587266</v>
      </c>
      <c r="AM331" s="6"/>
    </row>
    <row r="332" spans="1:39" ht="31.5" customHeight="1">
      <c r="A332" s="37" t="s">
        <v>30</v>
      </c>
      <c r="B332" s="37" t="s">
        <v>30</v>
      </c>
      <c r="C332" s="5" t="s">
        <v>830</v>
      </c>
      <c r="E332" s="84"/>
      <c r="F332" s="83" t="s">
        <v>844</v>
      </c>
      <c r="G332" s="12" t="s">
        <v>845</v>
      </c>
      <c r="H332" s="57" t="s">
        <v>20</v>
      </c>
      <c r="I332" s="54" t="s">
        <v>15</v>
      </c>
      <c r="J332" s="51" t="s">
        <v>8</v>
      </c>
      <c r="K332" s="57" t="s">
        <v>15</v>
      </c>
      <c r="L332" s="51" t="s">
        <v>444</v>
      </c>
      <c r="M332" s="55">
        <v>2017</v>
      </c>
      <c r="N332" s="55">
        <v>2021</v>
      </c>
      <c r="O332" s="102">
        <v>7.008</v>
      </c>
      <c r="P332" s="102"/>
      <c r="Q332" s="260">
        <v>0.56374800000000003</v>
      </c>
      <c r="R332" s="146">
        <v>0.20134447</v>
      </c>
      <c r="S332" s="146">
        <v>0.88061766000000008</v>
      </c>
      <c r="T332" s="146">
        <v>4.2975000000000003</v>
      </c>
      <c r="U332" s="146">
        <v>1.49</v>
      </c>
      <c r="V332" s="146"/>
      <c r="W332" s="57" t="s">
        <v>13</v>
      </c>
      <c r="X332" s="57" t="s">
        <v>12</v>
      </c>
      <c r="Y332" s="54"/>
      <c r="Z332" s="292" t="s">
        <v>1021</v>
      </c>
      <c r="AA332" s="5" t="s">
        <v>816</v>
      </c>
      <c r="AB332" s="26" t="s">
        <v>1274</v>
      </c>
      <c r="AC332" s="117"/>
      <c r="AD33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0.56374800000000003</v>
      </c>
      <c r="AE33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0.19681766373411536</v>
      </c>
      <c r="AF33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0.84476823059810824</v>
      </c>
      <c r="AG33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4.0496574566496824</v>
      </c>
      <c r="AH332"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1.3805995254399528</v>
      </c>
      <c r="AI332"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32" s="10">
        <f t="shared" si="28"/>
        <v>5.6549913509819056</v>
      </c>
      <c r="AK332" s="10">
        <f t="shared" si="30"/>
        <v>1.3805995254399528</v>
      </c>
      <c r="AL332" s="10">
        <f t="shared" si="29"/>
        <v>6.4718428764218583</v>
      </c>
      <c r="AM332" s="6"/>
    </row>
    <row r="333" spans="1:39" ht="31.5" customHeight="1">
      <c r="A333" s="37" t="s">
        <v>30</v>
      </c>
      <c r="B333" s="37" t="s">
        <v>30</v>
      </c>
      <c r="C333" s="5" t="s">
        <v>830</v>
      </c>
      <c r="E333" s="84"/>
      <c r="F333" s="83" t="s">
        <v>846</v>
      </c>
      <c r="G333" s="12"/>
      <c r="H333" s="57" t="s">
        <v>14</v>
      </c>
      <c r="I333" s="54" t="s">
        <v>15</v>
      </c>
      <c r="J333" s="51" t="s">
        <v>8</v>
      </c>
      <c r="K333" s="57" t="s">
        <v>15</v>
      </c>
      <c r="L333" s="51" t="s">
        <v>1054</v>
      </c>
      <c r="M333" s="55">
        <v>2013</v>
      </c>
      <c r="N333" s="55">
        <v>2022</v>
      </c>
      <c r="O333" s="102">
        <v>20.006499999999999</v>
      </c>
      <c r="P333" s="102"/>
      <c r="Q333" s="260">
        <v>1.3659384800000001</v>
      </c>
      <c r="R333" s="146">
        <v>4.6125210000000001</v>
      </c>
      <c r="S333" s="146">
        <v>6.5</v>
      </c>
      <c r="T333" s="146">
        <v>9.4369999999999994</v>
      </c>
      <c r="U333" s="146"/>
      <c r="V333" s="146"/>
      <c r="W333" s="57" t="s">
        <v>841</v>
      </c>
      <c r="X333" s="57" t="s">
        <v>12</v>
      </c>
      <c r="Y333" s="54"/>
      <c r="Z333" s="292" t="s">
        <v>1021</v>
      </c>
      <c r="AA333" s="5" t="s">
        <v>816</v>
      </c>
      <c r="AB333" s="26" t="s">
        <v>1274</v>
      </c>
      <c r="AC333" s="117"/>
      <c r="AD33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1.3659384800000001</v>
      </c>
      <c r="AE33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4.5088181818181816</v>
      </c>
      <c r="AF33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6.2353888052707269</v>
      </c>
      <c r="AG33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8.8927556529151932</v>
      </c>
      <c r="AH333"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333"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33" s="10">
        <f t="shared" si="28"/>
        <v>21.002901120004104</v>
      </c>
      <c r="AK333" s="10">
        <f t="shared" si="30"/>
        <v>0</v>
      </c>
      <c r="AL333" s="10">
        <f t="shared" si="29"/>
        <v>19.636962640004104</v>
      </c>
      <c r="AM333" s="6"/>
    </row>
    <row r="334" spans="1:39" ht="31.5" customHeight="1">
      <c r="A334" s="37" t="s">
        <v>30</v>
      </c>
      <c r="B334" s="37" t="s">
        <v>30</v>
      </c>
      <c r="C334" s="5" t="s">
        <v>830</v>
      </c>
      <c r="E334" s="84"/>
      <c r="F334" s="83" t="s">
        <v>847</v>
      </c>
      <c r="G334" s="12"/>
      <c r="H334" s="57" t="s">
        <v>26</v>
      </c>
      <c r="I334" s="54" t="s">
        <v>15</v>
      </c>
      <c r="J334" s="51" t="s">
        <v>8</v>
      </c>
      <c r="K334" s="57" t="s">
        <v>15</v>
      </c>
      <c r="L334" s="51" t="s">
        <v>444</v>
      </c>
      <c r="M334" s="55">
        <v>2018</v>
      </c>
      <c r="N334" s="55">
        <v>2025</v>
      </c>
      <c r="O334" s="102">
        <v>1.085969</v>
      </c>
      <c r="P334" s="102"/>
      <c r="Q334" s="260"/>
      <c r="R334" s="146">
        <v>0.31524036</v>
      </c>
      <c r="S334" s="146">
        <v>0.78749999999999998</v>
      </c>
      <c r="T334" s="146"/>
      <c r="U334" s="146"/>
      <c r="V334" s="146"/>
      <c r="W334" s="57" t="s">
        <v>13</v>
      </c>
      <c r="X334" s="57" t="s">
        <v>12</v>
      </c>
      <c r="Y334" s="54"/>
      <c r="Z334" s="292" t="s">
        <v>1021</v>
      </c>
      <c r="AA334" s="5" t="s">
        <v>816</v>
      </c>
      <c r="AB334" s="26" t="s">
        <v>1274</v>
      </c>
      <c r="AC334" s="117"/>
      <c r="AD33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33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0.30815284457478004</v>
      </c>
      <c r="AF33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0.7554413360231842</v>
      </c>
      <c r="AG33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334"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334"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34" s="10">
        <f t="shared" si="28"/>
        <v>1.0635941805979643</v>
      </c>
      <c r="AK334" s="10">
        <f t="shared" si="30"/>
        <v>0</v>
      </c>
      <c r="AL334" s="10">
        <f t="shared" si="29"/>
        <v>1.0635941805979643</v>
      </c>
      <c r="AM334" s="6"/>
    </row>
    <row r="335" spans="1:39" ht="31.5" customHeight="1">
      <c r="A335" s="37" t="s">
        <v>30</v>
      </c>
      <c r="B335" s="37" t="s">
        <v>30</v>
      </c>
      <c r="C335" s="5" t="s">
        <v>830</v>
      </c>
      <c r="E335" s="84"/>
      <c r="F335" s="83" t="s">
        <v>848</v>
      </c>
      <c r="G335" s="12" t="s">
        <v>849</v>
      </c>
      <c r="H335" s="57" t="s">
        <v>25</v>
      </c>
      <c r="I335" s="54" t="s">
        <v>15</v>
      </c>
      <c r="J335" s="51" t="s">
        <v>8</v>
      </c>
      <c r="K335" s="57" t="s">
        <v>15</v>
      </c>
      <c r="L335" s="51" t="s">
        <v>1054</v>
      </c>
      <c r="M335" s="55">
        <v>2013</v>
      </c>
      <c r="N335" s="55">
        <v>2026</v>
      </c>
      <c r="O335" s="102">
        <v>11.507873</v>
      </c>
      <c r="P335" s="102"/>
      <c r="Q335" s="260">
        <v>3.1257391000000001</v>
      </c>
      <c r="R335" s="146">
        <v>3.6224804500000003</v>
      </c>
      <c r="S335" s="146">
        <v>4.7050000000000001</v>
      </c>
      <c r="T335" s="146">
        <v>0.1</v>
      </c>
      <c r="U335" s="146"/>
      <c r="V335" s="146"/>
      <c r="W335" s="57" t="s">
        <v>13</v>
      </c>
      <c r="X335" s="57" t="s">
        <v>12</v>
      </c>
      <c r="Y335" s="54"/>
      <c r="Z335" s="292" t="s">
        <v>1021</v>
      </c>
      <c r="AA335" s="5" t="s">
        <v>816</v>
      </c>
      <c r="AB335" s="26" t="s">
        <v>1274</v>
      </c>
      <c r="AC335" s="117"/>
      <c r="AD33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3.1257391000000001</v>
      </c>
      <c r="AE33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3.541036608015641</v>
      </c>
      <c r="AF33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4.5134622044305797</v>
      </c>
      <c r="AG33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9.4232866937747101E-2</v>
      </c>
      <c r="AH335"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335"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35" s="10">
        <f t="shared" si="28"/>
        <v>11.274470779383966</v>
      </c>
      <c r="AK335" s="10">
        <f t="shared" si="30"/>
        <v>0</v>
      </c>
      <c r="AL335" s="10">
        <f t="shared" si="29"/>
        <v>8.1487316793839657</v>
      </c>
      <c r="AM335" s="6"/>
    </row>
    <row r="336" spans="1:39" ht="31.5" customHeight="1">
      <c r="A336" s="37" t="s">
        <v>30</v>
      </c>
      <c r="B336" s="37" t="s">
        <v>30</v>
      </c>
      <c r="C336" s="5" t="s">
        <v>830</v>
      </c>
      <c r="E336" s="84"/>
      <c r="F336" s="83" t="s">
        <v>850</v>
      </c>
      <c r="G336" s="12"/>
      <c r="H336" s="57" t="s">
        <v>21</v>
      </c>
      <c r="I336" s="54" t="s">
        <v>15</v>
      </c>
      <c r="J336" s="51" t="s">
        <v>8</v>
      </c>
      <c r="K336" s="57" t="s">
        <v>15</v>
      </c>
      <c r="L336" s="51" t="s">
        <v>444</v>
      </c>
      <c r="M336" s="55">
        <v>2016</v>
      </c>
      <c r="N336" s="55">
        <v>2022</v>
      </c>
      <c r="O336" s="102">
        <v>0.32500000000000001</v>
      </c>
      <c r="P336" s="102"/>
      <c r="Q336" s="260"/>
      <c r="R336" s="146">
        <v>0.15</v>
      </c>
      <c r="S336" s="146">
        <v>0.2</v>
      </c>
      <c r="T336" s="146"/>
      <c r="U336" s="146"/>
      <c r="V336" s="146"/>
      <c r="W336" s="57" t="s">
        <v>13</v>
      </c>
      <c r="X336" s="57" t="s">
        <v>12</v>
      </c>
      <c r="Y336" s="54"/>
      <c r="Z336" s="292" t="s">
        <v>1021</v>
      </c>
      <c r="AA336" s="5" t="s">
        <v>816</v>
      </c>
      <c r="AB336" s="26" t="s">
        <v>1274</v>
      </c>
      <c r="AC336" s="117"/>
      <c r="AD33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33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0.1466275659824047</v>
      </c>
      <c r="AF33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0.19185811708525313</v>
      </c>
      <c r="AG33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336"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336"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36" s="10">
        <f t="shared" si="28"/>
        <v>0.33848568306765781</v>
      </c>
      <c r="AK336" s="10">
        <f t="shared" si="30"/>
        <v>0</v>
      </c>
      <c r="AL336" s="10">
        <f t="shared" si="29"/>
        <v>0.33848568306765781</v>
      </c>
      <c r="AM336" s="6"/>
    </row>
    <row r="337" spans="1:39" ht="31.5" customHeight="1">
      <c r="A337" s="37" t="s">
        <v>30</v>
      </c>
      <c r="B337" s="37" t="s">
        <v>30</v>
      </c>
      <c r="C337" s="5" t="s">
        <v>830</v>
      </c>
      <c r="E337" s="84"/>
      <c r="F337" s="83" t="s">
        <v>851</v>
      </c>
      <c r="G337" s="12"/>
      <c r="H337" s="57" t="s">
        <v>18</v>
      </c>
      <c r="I337" s="54" t="s">
        <v>15</v>
      </c>
      <c r="J337" s="51" t="s">
        <v>8</v>
      </c>
      <c r="K337" s="57" t="s">
        <v>15</v>
      </c>
      <c r="L337" s="51" t="s">
        <v>1054</v>
      </c>
      <c r="M337" s="55">
        <v>2013</v>
      </c>
      <c r="N337" s="55">
        <v>2024</v>
      </c>
      <c r="O337" s="102">
        <v>0.85</v>
      </c>
      <c r="P337" s="102"/>
      <c r="Q337" s="260">
        <v>0.5</v>
      </c>
      <c r="R337" s="146">
        <v>1.0609999999999999</v>
      </c>
      <c r="S337" s="146">
        <v>0.1</v>
      </c>
      <c r="T337" s="146"/>
      <c r="U337" s="146"/>
      <c r="V337" s="146"/>
      <c r="W337" s="57" t="s">
        <v>841</v>
      </c>
      <c r="X337" s="57" t="s">
        <v>12</v>
      </c>
      <c r="Y337" s="54"/>
      <c r="Z337" s="292" t="s">
        <v>1021</v>
      </c>
      <c r="AA337" s="5" t="s">
        <v>816</v>
      </c>
      <c r="AB337" s="26" t="s">
        <v>1274</v>
      </c>
      <c r="AC337" s="117"/>
      <c r="AD33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0.5</v>
      </c>
      <c r="AE33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1.0371456500488758</v>
      </c>
      <c r="AF33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9.5929058542626566E-2</v>
      </c>
      <c r="AG33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337"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337"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37" s="10">
        <f t="shared" si="28"/>
        <v>1.6330747085915025</v>
      </c>
      <c r="AK337" s="10">
        <f t="shared" si="30"/>
        <v>0</v>
      </c>
      <c r="AL337" s="10">
        <f t="shared" si="29"/>
        <v>1.1330747085915025</v>
      </c>
      <c r="AM337" s="6"/>
    </row>
    <row r="338" spans="1:39" ht="31.5" customHeight="1">
      <c r="A338" s="37" t="s">
        <v>30</v>
      </c>
      <c r="B338" s="37" t="s">
        <v>30</v>
      </c>
      <c r="C338" s="5" t="s">
        <v>830</v>
      </c>
      <c r="E338" s="84"/>
      <c r="F338" s="83" t="s">
        <v>852</v>
      </c>
      <c r="G338" s="12" t="s">
        <v>853</v>
      </c>
      <c r="H338" s="57" t="s">
        <v>16</v>
      </c>
      <c r="I338" s="54" t="s">
        <v>15</v>
      </c>
      <c r="J338" s="51" t="s">
        <v>8</v>
      </c>
      <c r="K338" s="57" t="s">
        <v>15</v>
      </c>
      <c r="L338" s="51" t="s">
        <v>932</v>
      </c>
      <c r="M338" s="55">
        <v>2016</v>
      </c>
      <c r="N338" s="55">
        <v>2021</v>
      </c>
      <c r="O338" s="102">
        <v>0.139999999997999</v>
      </c>
      <c r="P338" s="102"/>
      <c r="Q338" s="260"/>
      <c r="R338" s="146">
        <v>0.35</v>
      </c>
      <c r="S338" s="146"/>
      <c r="T338" s="146"/>
      <c r="U338" s="146"/>
      <c r="V338" s="146"/>
      <c r="W338" s="57" t="s">
        <v>13</v>
      </c>
      <c r="X338" s="57" t="s">
        <v>12</v>
      </c>
      <c r="Y338" s="54"/>
      <c r="Z338" s="292" t="s">
        <v>1021</v>
      </c>
      <c r="AA338" s="5" t="s">
        <v>816</v>
      </c>
      <c r="AB338" s="26" t="s">
        <v>1274</v>
      </c>
      <c r="AC338" s="117"/>
      <c r="AD33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33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0.34213098729227764</v>
      </c>
      <c r="AF33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33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338"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338"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38" s="10">
        <f t="shared" si="28"/>
        <v>0.34213098729227764</v>
      </c>
      <c r="AK338" s="10">
        <f t="shared" si="30"/>
        <v>0</v>
      </c>
      <c r="AL338" s="10">
        <f t="shared" si="29"/>
        <v>0.34213098729227764</v>
      </c>
      <c r="AM338" s="6"/>
    </row>
    <row r="339" spans="1:39" ht="31.5" customHeight="1">
      <c r="A339" s="37" t="s">
        <v>30</v>
      </c>
      <c r="B339" s="37" t="s">
        <v>30</v>
      </c>
      <c r="C339" s="5" t="s">
        <v>830</v>
      </c>
      <c r="E339" s="84"/>
      <c r="F339" s="83" t="s">
        <v>854</v>
      </c>
      <c r="G339" s="12" t="s">
        <v>855</v>
      </c>
      <c r="H339" s="65" t="s">
        <v>22</v>
      </c>
      <c r="I339" s="54" t="s">
        <v>15</v>
      </c>
      <c r="J339" s="51" t="s">
        <v>8</v>
      </c>
      <c r="K339" s="57" t="s">
        <v>15</v>
      </c>
      <c r="L339" s="51" t="s">
        <v>1032</v>
      </c>
      <c r="M339" s="55">
        <v>2014</v>
      </c>
      <c r="N339" s="55">
        <v>2021</v>
      </c>
      <c r="O339" s="102">
        <v>9.4313000000000002</v>
      </c>
      <c r="P339" s="102"/>
      <c r="Q339" s="260"/>
      <c r="R339" s="146">
        <v>0.35550399999999999</v>
      </c>
      <c r="S339" s="146">
        <v>1.0740000000000001</v>
      </c>
      <c r="T339" s="146">
        <v>7.3</v>
      </c>
      <c r="U339" s="146"/>
      <c r="V339" s="146"/>
      <c r="W339" s="57" t="s">
        <v>13</v>
      </c>
      <c r="X339" s="57" t="s">
        <v>12</v>
      </c>
      <c r="Y339" s="54"/>
      <c r="Z339" s="292" t="s">
        <v>1021</v>
      </c>
      <c r="AA339" s="5" t="s">
        <v>816</v>
      </c>
      <c r="AB339" s="26" t="s">
        <v>1274</v>
      </c>
      <c r="AC339" s="117"/>
      <c r="AD33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33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0.34751124144672529</v>
      </c>
      <c r="AF33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1.0302780887478094</v>
      </c>
      <c r="AG33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6.8789992864555387</v>
      </c>
      <c r="AH339"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339"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39" s="10">
        <f t="shared" si="28"/>
        <v>8.2567886166500735</v>
      </c>
      <c r="AK339" s="10">
        <f t="shared" si="30"/>
        <v>0</v>
      </c>
      <c r="AL339" s="10">
        <f t="shared" si="29"/>
        <v>8.2567886166500735</v>
      </c>
      <c r="AM339" s="6"/>
    </row>
    <row r="340" spans="1:39" ht="31.5" customHeight="1">
      <c r="A340" s="37" t="s">
        <v>30</v>
      </c>
      <c r="B340" s="37" t="s">
        <v>30</v>
      </c>
      <c r="C340" s="5" t="s">
        <v>830</v>
      </c>
      <c r="E340" s="84"/>
      <c r="F340" s="83" t="s">
        <v>856</v>
      </c>
      <c r="G340" s="12"/>
      <c r="H340" s="57" t="s">
        <v>25</v>
      </c>
      <c r="I340" s="54" t="s">
        <v>15</v>
      </c>
      <c r="J340" s="51" t="s">
        <v>8</v>
      </c>
      <c r="K340" s="57" t="s">
        <v>15</v>
      </c>
      <c r="L340" s="51" t="s">
        <v>1032</v>
      </c>
      <c r="M340" s="55">
        <v>2015</v>
      </c>
      <c r="N340" s="55">
        <v>2021</v>
      </c>
      <c r="O340" s="102">
        <v>26.6</v>
      </c>
      <c r="P340" s="102"/>
      <c r="Q340" s="260">
        <v>0.12651734000000001</v>
      </c>
      <c r="R340" s="146">
        <v>0.20155764000000001</v>
      </c>
      <c r="S340" s="146">
        <v>0.13500000000000001</v>
      </c>
      <c r="T340" s="146">
        <v>10</v>
      </c>
      <c r="U340" s="146">
        <v>19</v>
      </c>
      <c r="V340" s="146"/>
      <c r="W340" s="57" t="s">
        <v>13</v>
      </c>
      <c r="X340" s="57" t="s">
        <v>12</v>
      </c>
      <c r="Y340" s="54"/>
      <c r="Z340" s="292" t="s">
        <v>1021</v>
      </c>
      <c r="AA340" s="5" t="s">
        <v>816</v>
      </c>
      <c r="AB340" s="26" t="s">
        <v>1274</v>
      </c>
      <c r="AC340" s="117"/>
      <c r="AD34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0.12651734000000001</v>
      </c>
      <c r="AE34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0.1970260410557185</v>
      </c>
      <c r="AF34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0.12950422903254585</v>
      </c>
      <c r="AG34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9.4232866937747097</v>
      </c>
      <c r="AH340"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17.604960391516176</v>
      </c>
      <c r="AI340"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40" s="10">
        <f t="shared" si="28"/>
        <v>9.8763343038629738</v>
      </c>
      <c r="AK340" s="10">
        <f t="shared" si="30"/>
        <v>17.604960391516176</v>
      </c>
      <c r="AL340" s="10">
        <f t="shared" si="29"/>
        <v>27.354777355379149</v>
      </c>
      <c r="AM340" s="6"/>
    </row>
    <row r="341" spans="1:39" ht="31.5" customHeight="1">
      <c r="A341" s="37" t="s">
        <v>30</v>
      </c>
      <c r="B341" s="37" t="s">
        <v>30</v>
      </c>
      <c r="C341" s="5" t="s">
        <v>830</v>
      </c>
      <c r="E341" s="84"/>
      <c r="F341" s="83" t="s">
        <v>857</v>
      </c>
      <c r="G341" s="12" t="s">
        <v>858</v>
      </c>
      <c r="H341" s="1" t="s">
        <v>25</v>
      </c>
      <c r="I341" s="54" t="s">
        <v>15</v>
      </c>
      <c r="J341" s="51" t="s">
        <v>8</v>
      </c>
      <c r="K341" s="57" t="s">
        <v>15</v>
      </c>
      <c r="L341" s="51" t="s">
        <v>1054</v>
      </c>
      <c r="M341" s="55">
        <v>2011</v>
      </c>
      <c r="N341" s="55">
        <v>2021</v>
      </c>
      <c r="O341" s="102">
        <v>23.099</v>
      </c>
      <c r="P341" s="102"/>
      <c r="Q341" s="260">
        <v>0.55364380000000002</v>
      </c>
      <c r="R341" s="146">
        <v>1.10994696</v>
      </c>
      <c r="S341" s="146">
        <v>14.795223999999999</v>
      </c>
      <c r="T341" s="146">
        <v>4.602735</v>
      </c>
      <c r="U341" s="146">
        <v>0.44</v>
      </c>
      <c r="V341" s="146"/>
      <c r="W341" s="57" t="s">
        <v>13</v>
      </c>
      <c r="X341" s="57" t="s">
        <v>12</v>
      </c>
      <c r="Y341" s="54"/>
      <c r="Z341" s="292" t="s">
        <v>1021</v>
      </c>
      <c r="AA341" s="5" t="s">
        <v>816</v>
      </c>
      <c r="AB341" s="26" t="s">
        <v>1274</v>
      </c>
      <c r="AC341" s="117"/>
      <c r="AD34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0.55364380000000002</v>
      </c>
      <c r="AE34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1.0849921407624634</v>
      </c>
      <c r="AF34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14.192919092472735</v>
      </c>
      <c r="AG34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4.3372891480471143</v>
      </c>
      <c r="AH341"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0.40769381959300621</v>
      </c>
      <c r="AI341"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41" s="10">
        <f t="shared" si="28"/>
        <v>20.16884418128231</v>
      </c>
      <c r="AK341" s="10">
        <f t="shared" si="30"/>
        <v>0.40769381959300621</v>
      </c>
      <c r="AL341" s="10">
        <f t="shared" si="29"/>
        <v>20.022894200875317</v>
      </c>
      <c r="AM341" s="6"/>
    </row>
    <row r="342" spans="1:39" ht="31.5" customHeight="1">
      <c r="A342" s="37" t="s">
        <v>30</v>
      </c>
      <c r="B342" s="37" t="s">
        <v>30</v>
      </c>
      <c r="C342" s="5" t="s">
        <v>830</v>
      </c>
      <c r="E342" s="84"/>
      <c r="F342" s="83" t="s">
        <v>859</v>
      </c>
      <c r="G342" s="12" t="s">
        <v>858</v>
      </c>
      <c r="H342" s="1" t="s">
        <v>25</v>
      </c>
      <c r="I342" s="54" t="s">
        <v>15</v>
      </c>
      <c r="J342" s="51" t="s">
        <v>8</v>
      </c>
      <c r="K342" s="57" t="s">
        <v>15</v>
      </c>
      <c r="L342" s="51" t="s">
        <v>1054</v>
      </c>
      <c r="M342" s="55">
        <v>2012</v>
      </c>
      <c r="N342" s="55">
        <v>2021</v>
      </c>
      <c r="O342" s="102">
        <v>2.4460000000000002</v>
      </c>
      <c r="P342" s="102"/>
      <c r="Q342" s="260">
        <v>0.53946810000000001</v>
      </c>
      <c r="R342" s="146">
        <v>0.20903890999999999</v>
      </c>
      <c r="S342" s="146">
        <v>2.117</v>
      </c>
      <c r="T342" s="146">
        <v>9.9000000000000005E-2</v>
      </c>
      <c r="U342" s="146">
        <v>0.03</v>
      </c>
      <c r="V342" s="146"/>
      <c r="W342" s="57" t="s">
        <v>13</v>
      </c>
      <c r="X342" s="57" t="s">
        <v>12</v>
      </c>
      <c r="Y342" s="54"/>
      <c r="Z342" s="292" t="s">
        <v>1021</v>
      </c>
      <c r="AA342" s="5" t="s">
        <v>816</v>
      </c>
      <c r="AB342" s="26" t="s">
        <v>1274</v>
      </c>
      <c r="AC342" s="117"/>
      <c r="AD34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0.53946810000000001</v>
      </c>
      <c r="AE34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0.20433911045943304</v>
      </c>
      <c r="AF34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2.0308181693474041</v>
      </c>
      <c r="AG34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9.3290538268369638E-2</v>
      </c>
      <c r="AH342"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2.7797305881341331E-2</v>
      </c>
      <c r="AI342"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42" s="10">
        <f t="shared" si="28"/>
        <v>2.8679159180752065</v>
      </c>
      <c r="AK342" s="10">
        <f t="shared" si="30"/>
        <v>2.7797305881341331E-2</v>
      </c>
      <c r="AL342" s="10">
        <f t="shared" si="29"/>
        <v>2.3562451239565476</v>
      </c>
      <c r="AM342" s="6"/>
    </row>
    <row r="343" spans="1:39" ht="31.5" customHeight="1">
      <c r="A343" s="37" t="s">
        <v>30</v>
      </c>
      <c r="B343" s="37" t="s">
        <v>30</v>
      </c>
      <c r="C343" s="5" t="s">
        <v>830</v>
      </c>
      <c r="E343" s="84"/>
      <c r="F343" s="83" t="s">
        <v>860</v>
      </c>
      <c r="G343" s="12" t="s">
        <v>858</v>
      </c>
      <c r="H343" s="57" t="s">
        <v>25</v>
      </c>
      <c r="I343" s="54" t="s">
        <v>15</v>
      </c>
      <c r="J343" s="51" t="s">
        <v>8</v>
      </c>
      <c r="K343" s="57" t="s">
        <v>15</v>
      </c>
      <c r="L343" s="51" t="s">
        <v>449</v>
      </c>
      <c r="M343" s="55">
        <v>2014</v>
      </c>
      <c r="N343" s="55">
        <v>2020</v>
      </c>
      <c r="O343" s="102">
        <v>2.2669999999999999</v>
      </c>
      <c r="P343" s="102"/>
      <c r="Q343" s="260"/>
      <c r="R343" s="146">
        <v>0.12400352000000001</v>
      </c>
      <c r="S343" s="146">
        <v>0.42143599999999998</v>
      </c>
      <c r="T343" s="146"/>
      <c r="U343" s="146"/>
      <c r="V343" s="146"/>
      <c r="W343" s="57" t="s">
        <v>13</v>
      </c>
      <c r="X343" s="57" t="s">
        <v>12</v>
      </c>
      <c r="Y343" s="54"/>
      <c r="Z343" s="292" t="s">
        <v>1021</v>
      </c>
      <c r="AA343" s="5" t="s">
        <v>816</v>
      </c>
      <c r="AB343" s="26" t="s">
        <v>1274</v>
      </c>
      <c r="AC343" s="117"/>
      <c r="AD34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34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0.12121556207233626</v>
      </c>
      <c r="AF34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0.40427958715970369</v>
      </c>
      <c r="AG34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343"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343"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43" s="10">
        <f t="shared" si="28"/>
        <v>0.52549514923203999</v>
      </c>
      <c r="AK343" s="10">
        <f t="shared" si="30"/>
        <v>0</v>
      </c>
      <c r="AL343" s="10">
        <f t="shared" si="29"/>
        <v>0.52549514923203999</v>
      </c>
      <c r="AM343" s="6"/>
    </row>
    <row r="344" spans="1:39" ht="31.5" customHeight="1">
      <c r="A344" s="5" t="s">
        <v>30</v>
      </c>
      <c r="B344" s="5" t="s">
        <v>30</v>
      </c>
      <c r="C344" s="5" t="s">
        <v>830</v>
      </c>
      <c r="D344" s="11"/>
      <c r="E344" s="84"/>
      <c r="F344" s="83" t="s">
        <v>60</v>
      </c>
      <c r="G344" s="38" t="s">
        <v>35</v>
      </c>
      <c r="H344" s="57" t="s">
        <v>21</v>
      </c>
      <c r="I344" s="57" t="s">
        <v>15</v>
      </c>
      <c r="J344" s="51" t="s">
        <v>8</v>
      </c>
      <c r="K344" s="57" t="s">
        <v>15</v>
      </c>
      <c r="L344" s="51" t="s">
        <v>1054</v>
      </c>
      <c r="M344" s="55">
        <v>2013</v>
      </c>
      <c r="N344" s="55">
        <v>2017</v>
      </c>
      <c r="O344" s="102">
        <v>64.415000000000006</v>
      </c>
      <c r="P344" s="102">
        <v>79.823999999999998</v>
      </c>
      <c r="Q344" s="260">
        <v>0.16700000000000001</v>
      </c>
      <c r="R344" s="146">
        <v>3.6</v>
      </c>
      <c r="S344" s="146">
        <v>20.100000000000001</v>
      </c>
      <c r="T344" s="146">
        <v>20.100000000000001</v>
      </c>
      <c r="U344" s="146">
        <v>76.5</v>
      </c>
      <c r="V344" s="146">
        <v>5.34</v>
      </c>
      <c r="W344" s="57" t="s">
        <v>13</v>
      </c>
      <c r="X344" s="57" t="s">
        <v>12</v>
      </c>
      <c r="Y344" s="54"/>
      <c r="Z344" s="292" t="s">
        <v>1021</v>
      </c>
      <c r="AA344" s="5" t="s">
        <v>816</v>
      </c>
      <c r="AB344" s="26" t="s">
        <v>1274</v>
      </c>
      <c r="AC344" s="117"/>
      <c r="AD34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0.16699999999999998</v>
      </c>
      <c r="AE34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3.5190615835777126</v>
      </c>
      <c r="AF34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19.281740767067941</v>
      </c>
      <c r="AG34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18.940806254487171</v>
      </c>
      <c r="AH344"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70.883129997420397</v>
      </c>
      <c r="AI344"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4.5845977843223658</v>
      </c>
      <c r="AJ344" s="10">
        <f t="shared" si="28"/>
        <v>41.908608605132827</v>
      </c>
      <c r="AK344" s="10">
        <f t="shared" si="30"/>
        <v>75.467727781742767</v>
      </c>
      <c r="AL344" s="10">
        <f t="shared" si="29"/>
        <v>117.20933638687559</v>
      </c>
      <c r="AM344" s="6"/>
    </row>
    <row r="345" spans="1:39" ht="31.5" customHeight="1">
      <c r="A345" s="37" t="s">
        <v>30</v>
      </c>
      <c r="B345" s="37" t="s">
        <v>30</v>
      </c>
      <c r="C345" s="5" t="s">
        <v>830</v>
      </c>
      <c r="E345" s="84"/>
      <c r="F345" s="83" t="s">
        <v>861</v>
      </c>
      <c r="G345" s="12" t="s">
        <v>862</v>
      </c>
      <c r="H345" s="65" t="s">
        <v>22</v>
      </c>
      <c r="I345" s="54" t="s">
        <v>15</v>
      </c>
      <c r="J345" s="51" t="s">
        <v>8</v>
      </c>
      <c r="K345" s="57" t="s">
        <v>15</v>
      </c>
      <c r="L345" s="51" t="s">
        <v>449</v>
      </c>
      <c r="M345" s="55">
        <v>2014</v>
      </c>
      <c r="N345" s="55">
        <v>2021</v>
      </c>
      <c r="O345" s="102">
        <v>9.3339999999999996</v>
      </c>
      <c r="P345" s="102"/>
      <c r="Q345" s="260"/>
      <c r="R345" s="146"/>
      <c r="S345" s="146">
        <v>7.8635743399999996</v>
      </c>
      <c r="T345" s="146"/>
      <c r="U345" s="146"/>
      <c r="V345" s="146"/>
      <c r="W345" s="57" t="s">
        <v>13</v>
      </c>
      <c r="X345" s="57" t="s">
        <v>12</v>
      </c>
      <c r="Y345" s="54"/>
      <c r="Z345" s="292" t="s">
        <v>1021</v>
      </c>
      <c r="AA345" s="5" t="s">
        <v>816</v>
      </c>
      <c r="AB345" s="26" t="s">
        <v>1274</v>
      </c>
      <c r="AC345" s="117"/>
      <c r="AD34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34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34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7.5434528321615604</v>
      </c>
      <c r="AG34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345"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345"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45" s="10">
        <f t="shared" si="28"/>
        <v>7.5434528321615604</v>
      </c>
      <c r="AK345" s="10">
        <f t="shared" si="30"/>
        <v>0</v>
      </c>
      <c r="AL345" s="10">
        <f t="shared" si="29"/>
        <v>7.5434528321615604</v>
      </c>
      <c r="AM345" s="6"/>
    </row>
    <row r="346" spans="1:39" ht="31.5" customHeight="1">
      <c r="A346" s="37" t="s">
        <v>30</v>
      </c>
      <c r="B346" s="37" t="s">
        <v>30</v>
      </c>
      <c r="C346" s="5" t="s">
        <v>830</v>
      </c>
      <c r="E346" s="84"/>
      <c r="F346" s="83" t="s">
        <v>863</v>
      </c>
      <c r="G346" s="12" t="s">
        <v>864</v>
      </c>
      <c r="H346" s="65" t="s">
        <v>14</v>
      </c>
      <c r="I346" s="54" t="s">
        <v>15</v>
      </c>
      <c r="J346" s="51" t="s">
        <v>8</v>
      </c>
      <c r="K346" s="57" t="s">
        <v>15</v>
      </c>
      <c r="L346" s="51" t="s">
        <v>444</v>
      </c>
      <c r="M346" s="55">
        <v>2019</v>
      </c>
      <c r="N346" s="55">
        <v>2018</v>
      </c>
      <c r="O346" s="102">
        <v>21.850999999999999</v>
      </c>
      <c r="P346" s="102"/>
      <c r="Q346" s="260"/>
      <c r="R346" s="146"/>
      <c r="S346" s="146">
        <v>0.35299999999999998</v>
      </c>
      <c r="T346" s="146"/>
      <c r="U346" s="146"/>
      <c r="V346" s="146"/>
      <c r="W346" s="57" t="s">
        <v>13</v>
      </c>
      <c r="X346" s="57" t="s">
        <v>12</v>
      </c>
      <c r="Y346" s="54"/>
      <c r="Z346" s="292" t="s">
        <v>1021</v>
      </c>
      <c r="AA346" s="5" t="s">
        <v>816</v>
      </c>
      <c r="AB346" s="26" t="s">
        <v>1274</v>
      </c>
      <c r="AC346" s="117"/>
      <c r="AD34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34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34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0.33862957665547178</v>
      </c>
      <c r="AG34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346"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346"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46" s="10">
        <f t="shared" si="28"/>
        <v>0.33862957665547178</v>
      </c>
      <c r="AK346" s="10">
        <f t="shared" si="30"/>
        <v>0</v>
      </c>
      <c r="AL346" s="10">
        <f t="shared" si="29"/>
        <v>0.33862957665547178</v>
      </c>
      <c r="AM346" s="6"/>
    </row>
    <row r="347" spans="1:39" ht="31.5" customHeight="1">
      <c r="A347" s="37" t="s">
        <v>30</v>
      </c>
      <c r="B347" s="37" t="s">
        <v>30</v>
      </c>
      <c r="C347" s="5" t="s">
        <v>830</v>
      </c>
      <c r="E347" s="84"/>
      <c r="F347" s="83" t="s">
        <v>865</v>
      </c>
      <c r="G347" s="12" t="s">
        <v>866</v>
      </c>
      <c r="H347" s="65" t="s">
        <v>22</v>
      </c>
      <c r="I347" s="54" t="s">
        <v>15</v>
      </c>
      <c r="J347" s="51" t="s">
        <v>8</v>
      </c>
      <c r="K347" s="57" t="s">
        <v>15</v>
      </c>
      <c r="L347" s="51" t="s">
        <v>444</v>
      </c>
      <c r="M347" s="55">
        <v>2019</v>
      </c>
      <c r="N347" s="55">
        <v>2022</v>
      </c>
      <c r="O347" s="102">
        <v>3</v>
      </c>
      <c r="P347" s="102"/>
      <c r="Q347" s="260">
        <v>0.26</v>
      </c>
      <c r="R347" s="146">
        <v>0.15</v>
      </c>
      <c r="S347" s="146">
        <v>2</v>
      </c>
      <c r="T347" s="146"/>
      <c r="U347" s="146"/>
      <c r="V347" s="146"/>
      <c r="W347" s="57" t="s">
        <v>13</v>
      </c>
      <c r="X347" s="57" t="s">
        <v>12</v>
      </c>
      <c r="Y347" s="54"/>
      <c r="Z347" s="292" t="s">
        <v>1021</v>
      </c>
      <c r="AA347" s="5" t="s">
        <v>816</v>
      </c>
      <c r="AB347" s="26" t="s">
        <v>1274</v>
      </c>
      <c r="AC347" s="117"/>
      <c r="AD34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0.26</v>
      </c>
      <c r="AE34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0.1466275659824047</v>
      </c>
      <c r="AF34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1.9185811708525313</v>
      </c>
      <c r="AG34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347"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347"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47" s="10">
        <f t="shared" si="28"/>
        <v>2.3252087368349361</v>
      </c>
      <c r="AK347" s="10">
        <f t="shared" si="30"/>
        <v>0</v>
      </c>
      <c r="AL347" s="10">
        <f t="shared" si="29"/>
        <v>2.0652087368349363</v>
      </c>
      <c r="AM347" s="6"/>
    </row>
    <row r="348" spans="1:39" ht="31.5" customHeight="1">
      <c r="A348" s="37" t="s">
        <v>30</v>
      </c>
      <c r="B348" s="37" t="s">
        <v>30</v>
      </c>
      <c r="C348" s="5" t="s">
        <v>830</v>
      </c>
      <c r="E348" s="84"/>
      <c r="F348" s="83" t="s">
        <v>867</v>
      </c>
      <c r="G348" s="12" t="s">
        <v>868</v>
      </c>
      <c r="H348" s="65" t="s">
        <v>22</v>
      </c>
      <c r="I348" s="54" t="s">
        <v>15</v>
      </c>
      <c r="J348" s="51" t="s">
        <v>8</v>
      </c>
      <c r="K348" s="57" t="s">
        <v>15</v>
      </c>
      <c r="L348" s="51" t="s">
        <v>444</v>
      </c>
      <c r="M348" s="55">
        <v>2017</v>
      </c>
      <c r="N348" s="55">
        <v>2022</v>
      </c>
      <c r="O348" s="102">
        <v>2.19</v>
      </c>
      <c r="P348" s="102"/>
      <c r="Q348" s="260">
        <v>0.88</v>
      </c>
      <c r="R348" s="146">
        <v>0.20799999999999999</v>
      </c>
      <c r="S348" s="146">
        <v>3.4</v>
      </c>
      <c r="T348" s="146"/>
      <c r="U348" s="146"/>
      <c r="V348" s="146"/>
      <c r="W348" s="57" t="s">
        <v>13</v>
      </c>
      <c r="X348" s="57" t="s">
        <v>12</v>
      </c>
      <c r="Y348" s="54"/>
      <c r="Z348" s="292" t="s">
        <v>1021</v>
      </c>
      <c r="AA348" s="5" t="s">
        <v>816</v>
      </c>
      <c r="AB348" s="26" t="s">
        <v>1274</v>
      </c>
      <c r="AC348" s="117"/>
      <c r="AD34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0.88</v>
      </c>
      <c r="AE34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0.20332355816226785</v>
      </c>
      <c r="AF34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3.261587990449303</v>
      </c>
      <c r="AG34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348"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348"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48" s="10">
        <f t="shared" si="28"/>
        <v>4.344911548611571</v>
      </c>
      <c r="AK348" s="10">
        <f t="shared" si="30"/>
        <v>0</v>
      </c>
      <c r="AL348" s="10">
        <f t="shared" si="29"/>
        <v>3.4649115486115711</v>
      </c>
      <c r="AM348" s="6"/>
    </row>
    <row r="349" spans="1:39" ht="31.5" customHeight="1">
      <c r="A349" s="37" t="s">
        <v>30</v>
      </c>
      <c r="B349" s="37" t="s">
        <v>30</v>
      </c>
      <c r="C349" s="5" t="s">
        <v>830</v>
      </c>
      <c r="E349" s="84"/>
      <c r="F349" s="83" t="s">
        <v>869</v>
      </c>
      <c r="G349" s="12" t="s">
        <v>870</v>
      </c>
      <c r="H349" s="57" t="s">
        <v>18</v>
      </c>
      <c r="I349" s="54" t="s">
        <v>15</v>
      </c>
      <c r="J349" s="51" t="s">
        <v>8</v>
      </c>
      <c r="K349" s="57" t="s">
        <v>15</v>
      </c>
      <c r="L349" s="51" t="s">
        <v>1054</v>
      </c>
      <c r="M349" s="55">
        <v>2013</v>
      </c>
      <c r="N349" s="55">
        <v>2019</v>
      </c>
      <c r="O349" s="102">
        <v>0.33566876999999895</v>
      </c>
      <c r="P349" s="102"/>
      <c r="Q349" s="260">
        <v>0.228356</v>
      </c>
      <c r="R349" s="146">
        <v>0.22000582000000002</v>
      </c>
      <c r="S349" s="146"/>
      <c r="T349" s="146"/>
      <c r="U349" s="146"/>
      <c r="V349" s="146"/>
      <c r="W349" s="57" t="s">
        <v>841</v>
      </c>
      <c r="X349" s="57" t="s">
        <v>12</v>
      </c>
      <c r="Y349" s="54"/>
      <c r="Z349" s="292" t="s">
        <v>1021</v>
      </c>
      <c r="AA349" s="5" t="s">
        <v>816</v>
      </c>
      <c r="AB349" s="26" t="s">
        <v>1274</v>
      </c>
      <c r="AC349" s="117"/>
      <c r="AD34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0.228356</v>
      </c>
      <c r="AE34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0.21505945259042036</v>
      </c>
      <c r="AF34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34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349"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349"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49" s="10">
        <f t="shared" si="28"/>
        <v>0.44341545259042037</v>
      </c>
      <c r="AK349" s="10">
        <f t="shared" si="30"/>
        <v>0</v>
      </c>
      <c r="AL349" s="10">
        <f t="shared" si="29"/>
        <v>0.21505945259042036</v>
      </c>
      <c r="AM349" s="6"/>
    </row>
    <row r="350" spans="1:39" ht="31.5" customHeight="1">
      <c r="A350" s="37" t="s">
        <v>30</v>
      </c>
      <c r="B350" s="37" t="s">
        <v>30</v>
      </c>
      <c r="C350" s="5" t="s">
        <v>830</v>
      </c>
      <c r="E350" s="84"/>
      <c r="F350" s="83" t="s">
        <v>871</v>
      </c>
      <c r="G350" s="12" t="s">
        <v>872</v>
      </c>
      <c r="H350" s="65" t="s">
        <v>22</v>
      </c>
      <c r="I350" s="54" t="s">
        <v>15</v>
      </c>
      <c r="J350" s="51" t="s">
        <v>8</v>
      </c>
      <c r="K350" s="57" t="s">
        <v>15</v>
      </c>
      <c r="L350" s="51" t="s">
        <v>444</v>
      </c>
      <c r="M350" s="55">
        <v>2015</v>
      </c>
      <c r="N350" s="55">
        <v>2015</v>
      </c>
      <c r="O350" s="102">
        <v>8.5220000000000002</v>
      </c>
      <c r="P350" s="102"/>
      <c r="Q350" s="260"/>
      <c r="R350" s="146">
        <v>0.10000001</v>
      </c>
      <c r="S350" s="146">
        <v>0.5</v>
      </c>
      <c r="T350" s="146"/>
      <c r="U350" s="146"/>
      <c r="V350" s="146"/>
      <c r="W350" s="57" t="s">
        <v>13</v>
      </c>
      <c r="X350" s="57" t="s">
        <v>12</v>
      </c>
      <c r="Y350" s="54"/>
      <c r="Z350" s="292" t="s">
        <v>1021</v>
      </c>
      <c r="AA350" s="5" t="s">
        <v>816</v>
      </c>
      <c r="AB350" s="26" t="s">
        <v>1274</v>
      </c>
      <c r="AC350" s="117"/>
      <c r="AD35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35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9.7751720430107519E-2</v>
      </c>
      <c r="AF35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0.47964529271313283</v>
      </c>
      <c r="AG35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350"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350"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50" s="10">
        <f t="shared" si="28"/>
        <v>0.57739701314324032</v>
      </c>
      <c r="AK350" s="10">
        <f t="shared" si="30"/>
        <v>0</v>
      </c>
      <c r="AL350" s="10">
        <f t="shared" si="29"/>
        <v>0.57739701314324032</v>
      </c>
      <c r="AM350" s="6"/>
    </row>
    <row r="351" spans="1:39" ht="31.5" customHeight="1">
      <c r="A351" s="37" t="s">
        <v>30</v>
      </c>
      <c r="B351" s="37" t="s">
        <v>30</v>
      </c>
      <c r="C351" s="5" t="s">
        <v>830</v>
      </c>
      <c r="E351" s="84"/>
      <c r="F351" s="83" t="s">
        <v>873</v>
      </c>
      <c r="G351" s="12" t="s">
        <v>874</v>
      </c>
      <c r="H351" s="57" t="s">
        <v>20</v>
      </c>
      <c r="I351" s="54" t="s">
        <v>15</v>
      </c>
      <c r="J351" s="51" t="s">
        <v>8</v>
      </c>
      <c r="K351" s="57" t="s">
        <v>15</v>
      </c>
      <c r="L351" s="51" t="s">
        <v>449</v>
      </c>
      <c r="M351" s="55">
        <v>2014</v>
      </c>
      <c r="N351" s="55">
        <v>2016</v>
      </c>
      <c r="O351" s="102">
        <v>13.337493800000001</v>
      </c>
      <c r="P351" s="102"/>
      <c r="Q351" s="260"/>
      <c r="R351" s="146">
        <v>0.30724380000000001</v>
      </c>
      <c r="S351" s="146">
        <v>0.255</v>
      </c>
      <c r="T351" s="146">
        <v>3.5</v>
      </c>
      <c r="U351" s="146">
        <v>9.5</v>
      </c>
      <c r="V351" s="146"/>
      <c r="W351" s="57" t="s">
        <v>13</v>
      </c>
      <c r="X351" s="57" t="s">
        <v>12</v>
      </c>
      <c r="Y351" s="54"/>
      <c r="Z351" s="292" t="s">
        <v>1021</v>
      </c>
      <c r="AA351" s="5" t="s">
        <v>816</v>
      </c>
      <c r="AB351" s="26" t="s">
        <v>1274</v>
      </c>
      <c r="AC351" s="117"/>
      <c r="AD35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35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0.30033607038123167</v>
      </c>
      <c r="AF35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0.24461909928369774</v>
      </c>
      <c r="AG35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3.2981503428211485</v>
      </c>
      <c r="AH351"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8.802480195758088</v>
      </c>
      <c r="AI351"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51" s="10">
        <f t="shared" si="28"/>
        <v>3.843105512486078</v>
      </c>
      <c r="AK351" s="10">
        <f t="shared" si="30"/>
        <v>8.802480195758088</v>
      </c>
      <c r="AL351" s="10">
        <f t="shared" si="29"/>
        <v>12.645585708244166</v>
      </c>
      <c r="AM351" s="6"/>
    </row>
    <row r="352" spans="1:39" ht="31.5" customHeight="1">
      <c r="A352" s="5" t="s">
        <v>30</v>
      </c>
      <c r="B352" s="5" t="s">
        <v>30</v>
      </c>
      <c r="C352" s="34" t="s">
        <v>903</v>
      </c>
      <c r="D352" s="34" t="s">
        <v>903</v>
      </c>
      <c r="E352" s="27"/>
      <c r="F352" s="26"/>
      <c r="G352" s="28"/>
      <c r="H352" s="64" t="s">
        <v>6</v>
      </c>
      <c r="I352" s="57" t="s">
        <v>15</v>
      </c>
      <c r="J352" s="51" t="s">
        <v>8</v>
      </c>
      <c r="K352" s="109" t="s">
        <v>15</v>
      </c>
      <c r="L352" s="51" t="s">
        <v>444</v>
      </c>
      <c r="M352" s="101" t="s">
        <v>27</v>
      </c>
      <c r="N352" s="101" t="s">
        <v>27</v>
      </c>
      <c r="O352" s="29"/>
      <c r="P352" s="29"/>
      <c r="Q352" s="251"/>
      <c r="R352" s="104"/>
      <c r="S352" s="104"/>
      <c r="T352" s="104"/>
      <c r="U352" s="104">
        <v>244.9</v>
      </c>
      <c r="V352" s="104"/>
      <c r="W352" s="123" t="s">
        <v>13</v>
      </c>
      <c r="X352" s="123" t="s">
        <v>12</v>
      </c>
      <c r="Y352" s="81"/>
      <c r="Z352" s="292" t="s">
        <v>1021</v>
      </c>
      <c r="AA352" s="17"/>
      <c r="AB352" s="26" t="s">
        <v>1244</v>
      </c>
      <c r="AC352" s="117"/>
      <c r="AD35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35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35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35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352"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226.9186736780164</v>
      </c>
      <c r="AI352"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52" s="32">
        <f t="shared" si="28"/>
        <v>0</v>
      </c>
      <c r="AK352" s="32">
        <f t="shared" si="30"/>
        <v>226.9186736780164</v>
      </c>
      <c r="AL352" s="32">
        <f t="shared" si="29"/>
        <v>226.9186736780164</v>
      </c>
      <c r="AM352" s="6"/>
    </row>
    <row r="353" spans="1:39" ht="31.5" customHeight="1">
      <c r="A353" s="5" t="s">
        <v>30</v>
      </c>
      <c r="B353" s="5" t="s">
        <v>30</v>
      </c>
      <c r="C353" s="5" t="s">
        <v>825</v>
      </c>
      <c r="D353" s="11"/>
      <c r="E353" s="27"/>
      <c r="F353" s="83" t="s">
        <v>826</v>
      </c>
      <c r="G353" s="11" t="s">
        <v>344</v>
      </c>
      <c r="H353" s="57" t="s">
        <v>26</v>
      </c>
      <c r="I353" s="57" t="s">
        <v>15</v>
      </c>
      <c r="J353" s="51" t="s">
        <v>8</v>
      </c>
      <c r="K353" s="57" t="s">
        <v>15</v>
      </c>
      <c r="L353" s="51" t="s">
        <v>444</v>
      </c>
      <c r="M353" s="55">
        <v>2014</v>
      </c>
      <c r="N353" s="55">
        <v>2017</v>
      </c>
      <c r="O353" s="102">
        <v>36.999000000000002</v>
      </c>
      <c r="P353" s="102"/>
      <c r="Q353" s="260"/>
      <c r="R353" s="146">
        <v>0.66700000000000004</v>
      </c>
      <c r="S353" s="146">
        <v>11.157999999999999</v>
      </c>
      <c r="T353" s="146">
        <v>11.638</v>
      </c>
      <c r="U353" s="146"/>
      <c r="V353" s="146"/>
      <c r="W353" s="57" t="s">
        <v>13</v>
      </c>
      <c r="X353" s="57" t="s">
        <v>12</v>
      </c>
      <c r="Y353" s="54"/>
      <c r="Z353" s="292" t="s">
        <v>1021</v>
      </c>
      <c r="AA353" s="5" t="s">
        <v>816</v>
      </c>
      <c r="AB353" s="185" t="s">
        <v>1275</v>
      </c>
      <c r="AC353" s="117" t="s">
        <v>10</v>
      </c>
      <c r="AD35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35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0.65200391006842628</v>
      </c>
      <c r="AF35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10.703764352186273</v>
      </c>
      <c r="AG35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10.966821054215007</v>
      </c>
      <c r="AH353"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353"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53" s="10">
        <f t="shared" si="28"/>
        <v>22.322589316469706</v>
      </c>
      <c r="AK353" s="10">
        <f t="shared" si="30"/>
        <v>0</v>
      </c>
      <c r="AL353" s="10">
        <f t="shared" si="29"/>
        <v>22.322589316469706</v>
      </c>
      <c r="AM353" s="6"/>
    </row>
    <row r="354" spans="1:39" ht="31.5" customHeight="1">
      <c r="A354" s="37" t="s">
        <v>30</v>
      </c>
      <c r="B354" s="37" t="s">
        <v>30</v>
      </c>
      <c r="C354" s="5" t="s">
        <v>813</v>
      </c>
      <c r="E354" s="27"/>
      <c r="F354" s="83" t="s">
        <v>814</v>
      </c>
      <c r="G354" s="12" t="s">
        <v>815</v>
      </c>
      <c r="H354" s="57" t="s">
        <v>16</v>
      </c>
      <c r="I354" s="54" t="s">
        <v>15</v>
      </c>
      <c r="J354" s="51" t="s">
        <v>8</v>
      </c>
      <c r="K354" s="57" t="s">
        <v>15</v>
      </c>
      <c r="L354" s="51" t="s">
        <v>444</v>
      </c>
      <c r="M354" s="55">
        <v>2014</v>
      </c>
      <c r="N354" s="55">
        <v>2017</v>
      </c>
      <c r="O354" s="102">
        <v>18.171205</v>
      </c>
      <c r="P354" s="102"/>
      <c r="Q354" s="260">
        <v>0.13716600000000001</v>
      </c>
      <c r="R354" s="146">
        <v>1.23443452</v>
      </c>
      <c r="S354" s="146">
        <v>2.8980000000000001</v>
      </c>
      <c r="T354" s="146">
        <v>10.233000000000001</v>
      </c>
      <c r="U354" s="146">
        <v>5.47</v>
      </c>
      <c r="V354" s="146">
        <v>5.4720000000000004</v>
      </c>
      <c r="W354" s="57" t="s">
        <v>13</v>
      </c>
      <c r="X354" s="57" t="s">
        <v>12</v>
      </c>
      <c r="Y354" s="54"/>
      <c r="Z354" s="292" t="s">
        <v>1021</v>
      </c>
      <c r="AA354" s="5" t="s">
        <v>816</v>
      </c>
      <c r="AB354" s="185" t="s">
        <v>1275</v>
      </c>
      <c r="AC354" s="117" t="s">
        <v>10</v>
      </c>
      <c r="AD35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0.13716600000000001</v>
      </c>
      <c r="AE35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1.2066808602150538</v>
      </c>
      <c r="AF35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2.7800241165653179</v>
      </c>
      <c r="AG35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9.6428492737396621</v>
      </c>
      <c r="AH354"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5.0683754390312359</v>
      </c>
      <c r="AI354"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4.6979249205640423</v>
      </c>
      <c r="AJ354" s="10">
        <f t="shared" si="28"/>
        <v>13.766720250520034</v>
      </c>
      <c r="AK354" s="10">
        <f t="shared" si="30"/>
        <v>9.7663003595952773</v>
      </c>
      <c r="AL354" s="10">
        <f t="shared" si="29"/>
        <v>23.395854610115311</v>
      </c>
      <c r="AM354" s="6"/>
    </row>
    <row r="355" spans="1:39" ht="31.5" customHeight="1">
      <c r="A355" s="37" t="s">
        <v>30</v>
      </c>
      <c r="B355" s="37" t="s">
        <v>30</v>
      </c>
      <c r="C355" s="5" t="s">
        <v>813</v>
      </c>
      <c r="E355" s="27"/>
      <c r="F355" s="83" t="s">
        <v>817</v>
      </c>
      <c r="G355" s="12"/>
      <c r="H355" s="57" t="s">
        <v>26</v>
      </c>
      <c r="I355" s="54" t="s">
        <v>15</v>
      </c>
      <c r="J355" s="51" t="s">
        <v>8</v>
      </c>
      <c r="K355" s="57" t="s">
        <v>15</v>
      </c>
      <c r="L355" s="51" t="s">
        <v>449</v>
      </c>
      <c r="M355" s="55">
        <v>2014</v>
      </c>
      <c r="N355" s="55">
        <v>2017</v>
      </c>
      <c r="O355" s="102">
        <v>39.982500000000002</v>
      </c>
      <c r="P355" s="102"/>
      <c r="Q355" s="260">
        <v>0.22788233999999999</v>
      </c>
      <c r="R355" s="146">
        <v>6.8220264800000008</v>
      </c>
      <c r="S355" s="146">
        <v>6.1359430000000001</v>
      </c>
      <c r="T355" s="146">
        <v>10.826383999999999</v>
      </c>
      <c r="U355" s="146">
        <v>3.2</v>
      </c>
      <c r="V355" s="146">
        <v>3.2037629999999999</v>
      </c>
      <c r="W355" s="57" t="s">
        <v>13</v>
      </c>
      <c r="X355" s="57" t="s">
        <v>12</v>
      </c>
      <c r="Y355" s="54"/>
      <c r="Z355" s="292" t="s">
        <v>1021</v>
      </c>
      <c r="AA355" s="5" t="s">
        <v>816</v>
      </c>
      <c r="AB355" s="185" t="s">
        <v>1275</v>
      </c>
      <c r="AC355" s="117" t="s">
        <v>10</v>
      </c>
      <c r="AD35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0.22788233999999999</v>
      </c>
      <c r="AE35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6.6686475855327476</v>
      </c>
      <c r="AF35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5.8861523526121964</v>
      </c>
      <c r="AG35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10.202012028889541</v>
      </c>
      <c r="AH355"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2.9650459606764086</v>
      </c>
      <c r="AI355"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2.7505551968715314</v>
      </c>
      <c r="AJ355" s="10">
        <f t="shared" si="28"/>
        <v>22.984694307034484</v>
      </c>
      <c r="AK355" s="10">
        <f t="shared" si="30"/>
        <v>5.7156011575479404</v>
      </c>
      <c r="AL355" s="10">
        <f t="shared" si="29"/>
        <v>28.472413124582424</v>
      </c>
      <c r="AM355" s="6"/>
    </row>
    <row r="356" spans="1:39" ht="31.5" customHeight="1">
      <c r="A356" s="5" t="s">
        <v>30</v>
      </c>
      <c r="B356" s="5" t="s">
        <v>30</v>
      </c>
      <c r="C356" s="5" t="s">
        <v>825</v>
      </c>
      <c r="D356" s="11"/>
      <c r="E356" s="27"/>
      <c r="F356" s="83" t="s">
        <v>827</v>
      </c>
      <c r="G356" s="12" t="s">
        <v>828</v>
      </c>
      <c r="H356" s="65" t="s">
        <v>14</v>
      </c>
      <c r="I356" s="57" t="s">
        <v>15</v>
      </c>
      <c r="J356" s="51" t="s">
        <v>8</v>
      </c>
      <c r="K356" s="57" t="s">
        <v>15</v>
      </c>
      <c r="L356" s="51" t="s">
        <v>449</v>
      </c>
      <c r="M356" s="55">
        <v>2014</v>
      </c>
      <c r="N356" s="55">
        <v>2016</v>
      </c>
      <c r="O356" s="102">
        <v>50.5</v>
      </c>
      <c r="P356" s="102">
        <v>32.5</v>
      </c>
      <c r="Q356" s="260"/>
      <c r="R356" s="146">
        <v>2.1539999999999999</v>
      </c>
      <c r="S356" s="146">
        <v>9.0719999999999992</v>
      </c>
      <c r="T356" s="146">
        <v>15.135999999999999</v>
      </c>
      <c r="U356" s="146">
        <v>10.5</v>
      </c>
      <c r="V356" s="146"/>
      <c r="W356" s="57" t="s">
        <v>13</v>
      </c>
      <c r="X356" s="57" t="s">
        <v>12</v>
      </c>
      <c r="Y356" s="54"/>
      <c r="Z356" s="292" t="s">
        <v>1021</v>
      </c>
      <c r="AA356" s="5" t="s">
        <v>816</v>
      </c>
      <c r="AB356" s="185" t="s">
        <v>1275</v>
      </c>
      <c r="AC356" s="117" t="s">
        <v>10</v>
      </c>
      <c r="AD35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35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2.1055718475073313</v>
      </c>
      <c r="AF35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8.7026841909870818</v>
      </c>
      <c r="AG35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14.2630867396974</v>
      </c>
      <c r="AH356"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9.7290570584694667</v>
      </c>
      <c r="AI356"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56" s="10">
        <f t="shared" si="28"/>
        <v>25.071342778191813</v>
      </c>
      <c r="AK356" s="10">
        <f t="shared" si="30"/>
        <v>9.7290570584694667</v>
      </c>
      <c r="AL356" s="10">
        <f t="shared" si="29"/>
        <v>34.800399836661278</v>
      </c>
      <c r="AM356" s="6"/>
    </row>
    <row r="357" spans="1:39" ht="31.5" customHeight="1">
      <c r="A357" s="37" t="s">
        <v>30</v>
      </c>
      <c r="B357" s="37" t="s">
        <v>30</v>
      </c>
      <c r="C357" s="5" t="s">
        <v>813</v>
      </c>
      <c r="E357" s="27"/>
      <c r="F357" s="83" t="s">
        <v>818</v>
      </c>
      <c r="G357" s="12" t="s">
        <v>819</v>
      </c>
      <c r="H357" s="57" t="s">
        <v>21</v>
      </c>
      <c r="I357" s="54" t="s">
        <v>15</v>
      </c>
      <c r="J357" s="51" t="s">
        <v>8</v>
      </c>
      <c r="K357" s="57" t="s">
        <v>15</v>
      </c>
      <c r="L357" s="51" t="s">
        <v>444</v>
      </c>
      <c r="M357" s="55">
        <v>2014</v>
      </c>
      <c r="N357" s="55">
        <v>2016</v>
      </c>
      <c r="O357" s="102">
        <v>4.7210000000000001</v>
      </c>
      <c r="P357" s="102"/>
      <c r="Q357" s="260">
        <v>0.5</v>
      </c>
      <c r="R357" s="146">
        <v>0.37089264</v>
      </c>
      <c r="S357" s="146">
        <v>0.47299999999999998</v>
      </c>
      <c r="T357" s="146">
        <v>4.0004</v>
      </c>
      <c r="U357" s="146"/>
      <c r="V357" s="146"/>
      <c r="W357" s="57" t="s">
        <v>13</v>
      </c>
      <c r="X357" s="57" t="s">
        <v>12</v>
      </c>
      <c r="Y357" s="54"/>
      <c r="Z357" s="292" t="s">
        <v>1021</v>
      </c>
      <c r="AA357" s="5" t="s">
        <v>816</v>
      </c>
      <c r="AB357" s="185" t="s">
        <v>1275</v>
      </c>
      <c r="AC357" s="117" t="s">
        <v>10</v>
      </c>
      <c r="AD35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0.5</v>
      </c>
      <c r="AE35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0.36255390029325513</v>
      </c>
      <c r="AF35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0.45374444690662363</v>
      </c>
      <c r="AG35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3.7696916089776353</v>
      </c>
      <c r="AH357"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357"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57" s="10">
        <f t="shared" si="28"/>
        <v>5.0859899561775137</v>
      </c>
      <c r="AK357" s="10">
        <f t="shared" si="30"/>
        <v>0</v>
      </c>
      <c r="AL357" s="10">
        <f t="shared" si="29"/>
        <v>4.5859899561775137</v>
      </c>
      <c r="AM357" s="6"/>
    </row>
    <row r="358" spans="1:39" ht="31.5" customHeight="1">
      <c r="A358" s="37" t="s">
        <v>30</v>
      </c>
      <c r="B358" s="37" t="s">
        <v>30</v>
      </c>
      <c r="C358" s="37" t="s">
        <v>825</v>
      </c>
      <c r="D358" s="38"/>
      <c r="E358" s="27"/>
      <c r="F358" s="83" t="s">
        <v>829</v>
      </c>
      <c r="G358" s="38" t="s">
        <v>350</v>
      </c>
      <c r="H358" s="57" t="s">
        <v>20</v>
      </c>
      <c r="I358" s="54" t="s">
        <v>15</v>
      </c>
      <c r="J358" s="51" t="s">
        <v>8</v>
      </c>
      <c r="K358" s="57" t="s">
        <v>15</v>
      </c>
      <c r="L358" s="51" t="s">
        <v>444</v>
      </c>
      <c r="M358" s="55">
        <v>2014</v>
      </c>
      <c r="N358" s="55">
        <v>2021</v>
      </c>
      <c r="O358" s="102">
        <v>72.328599999999994</v>
      </c>
      <c r="P358" s="102">
        <v>79.662999999999997</v>
      </c>
      <c r="Q358" s="260">
        <v>0.1937199</v>
      </c>
      <c r="R358" s="146">
        <v>1.89665822</v>
      </c>
      <c r="S358" s="146">
        <v>5.7648000000000001</v>
      </c>
      <c r="T358" s="146">
        <v>14.317</v>
      </c>
      <c r="U358" s="146">
        <v>36.6</v>
      </c>
      <c r="V358" s="146">
        <v>31.79</v>
      </c>
      <c r="W358" s="57" t="s">
        <v>13</v>
      </c>
      <c r="X358" s="57" t="s">
        <v>12</v>
      </c>
      <c r="Y358" s="54"/>
      <c r="Z358" s="292" t="s">
        <v>1021</v>
      </c>
      <c r="AA358" s="5" t="s">
        <v>816</v>
      </c>
      <c r="AB358" s="185" t="s">
        <v>1275</v>
      </c>
      <c r="AC358" s="117" t="s">
        <v>10</v>
      </c>
      <c r="AD35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0.1937199</v>
      </c>
      <c r="AE35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1.8540158553274682</v>
      </c>
      <c r="AF35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5.5301183668653362</v>
      </c>
      <c r="AG35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13.491319559477253</v>
      </c>
      <c r="AH358"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33.912713175236426</v>
      </c>
      <c r="AI358"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27.292951978203746</v>
      </c>
      <c r="AJ358" s="10">
        <f t="shared" si="28"/>
        <v>21.069173681670058</v>
      </c>
      <c r="AK358" s="10">
        <f t="shared" si="30"/>
        <v>61.205665153440172</v>
      </c>
      <c r="AL358" s="10">
        <f t="shared" si="29"/>
        <v>82.081118935110226</v>
      </c>
      <c r="AM358" s="6"/>
    </row>
    <row r="359" spans="1:39" ht="31.5" customHeight="1">
      <c r="A359" s="37" t="s">
        <v>30</v>
      </c>
      <c r="B359" s="37" t="s">
        <v>30</v>
      </c>
      <c r="C359" s="5" t="s">
        <v>813</v>
      </c>
      <c r="E359" s="27"/>
      <c r="F359" s="83" t="s">
        <v>820</v>
      </c>
      <c r="G359" s="12"/>
      <c r="H359" s="57" t="s">
        <v>21</v>
      </c>
      <c r="I359" s="54" t="s">
        <v>15</v>
      </c>
      <c r="J359" s="51" t="s">
        <v>8</v>
      </c>
      <c r="K359" s="57" t="s">
        <v>15</v>
      </c>
      <c r="L359" s="51" t="s">
        <v>444</v>
      </c>
      <c r="M359" s="55">
        <v>2014</v>
      </c>
      <c r="N359" s="55">
        <v>2017</v>
      </c>
      <c r="O359" s="102">
        <v>14.109</v>
      </c>
      <c r="P359" s="102"/>
      <c r="Q359" s="260"/>
      <c r="R359" s="146">
        <v>0.25743262</v>
      </c>
      <c r="S359" s="146">
        <v>2.63</v>
      </c>
      <c r="T359" s="146">
        <v>10.4</v>
      </c>
      <c r="U359" s="146"/>
      <c r="V359" s="146"/>
      <c r="W359" s="57" t="s">
        <v>13</v>
      </c>
      <c r="X359" s="57" t="s">
        <v>12</v>
      </c>
      <c r="Y359" s="54"/>
      <c r="Z359" s="292" t="s">
        <v>1021</v>
      </c>
      <c r="AA359" s="5" t="s">
        <v>816</v>
      </c>
      <c r="AB359" s="185" t="s">
        <v>1275</v>
      </c>
      <c r="AC359" s="117" t="s">
        <v>10</v>
      </c>
      <c r="AD35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35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0.2516447898338221</v>
      </c>
      <c r="AF35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2.5229342396710788</v>
      </c>
      <c r="AG35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9.8002181615256987</v>
      </c>
      <c r="AH359"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359"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59" s="10">
        <f t="shared" si="28"/>
        <v>12.5747971910306</v>
      </c>
      <c r="AK359" s="10">
        <f t="shared" si="30"/>
        <v>0</v>
      </c>
      <c r="AL359" s="10">
        <f t="shared" si="29"/>
        <v>12.5747971910306</v>
      </c>
      <c r="AM359" s="6"/>
    </row>
    <row r="360" spans="1:39" ht="31.5" customHeight="1">
      <c r="A360" s="37" t="s">
        <v>30</v>
      </c>
      <c r="B360" s="37" t="s">
        <v>30</v>
      </c>
      <c r="C360" s="5" t="s">
        <v>813</v>
      </c>
      <c r="E360" s="27"/>
      <c r="F360" s="83" t="s">
        <v>821</v>
      </c>
      <c r="G360" s="12" t="s">
        <v>822</v>
      </c>
      <c r="H360" s="65" t="s">
        <v>14</v>
      </c>
      <c r="I360" s="54" t="s">
        <v>15</v>
      </c>
      <c r="J360" s="51" t="s">
        <v>8</v>
      </c>
      <c r="K360" s="57" t="s">
        <v>15</v>
      </c>
      <c r="L360" s="51" t="s">
        <v>444</v>
      </c>
      <c r="M360" s="55">
        <v>2014</v>
      </c>
      <c r="N360" s="55">
        <v>2015</v>
      </c>
      <c r="O360" s="102">
        <v>8.5500000000000007</v>
      </c>
      <c r="P360" s="102"/>
      <c r="Q360" s="260">
        <v>0.19294</v>
      </c>
      <c r="R360" s="146">
        <v>2.1970000000000001</v>
      </c>
      <c r="S360" s="146">
        <v>6.7530000000000001</v>
      </c>
      <c r="T360" s="146">
        <v>0.34499999999999997</v>
      </c>
      <c r="U360" s="146"/>
      <c r="V360" s="146"/>
      <c r="W360" s="57" t="s">
        <v>13</v>
      </c>
      <c r="X360" s="57" t="s">
        <v>12</v>
      </c>
      <c r="Y360" s="54"/>
      <c r="Z360" s="292" t="s">
        <v>1021</v>
      </c>
      <c r="AA360" s="5" t="s">
        <v>816</v>
      </c>
      <c r="AB360" s="185" t="s">
        <v>1275</v>
      </c>
      <c r="AC360" s="117" t="s">
        <v>10</v>
      </c>
      <c r="AD36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0.19294</v>
      </c>
      <c r="AE36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2.1476050830889544</v>
      </c>
      <c r="AF36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6.4780893233835712</v>
      </c>
      <c r="AG36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0.3251033909352275</v>
      </c>
      <c r="AH360"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360"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60" s="10">
        <f t="shared" si="28"/>
        <v>9.1437377974077538</v>
      </c>
      <c r="AK360" s="10">
        <f t="shared" si="30"/>
        <v>0</v>
      </c>
      <c r="AL360" s="10">
        <f t="shared" si="29"/>
        <v>8.9507977974077537</v>
      </c>
      <c r="AM360" s="6"/>
    </row>
    <row r="361" spans="1:39" ht="31.5" customHeight="1">
      <c r="A361" s="37" t="s">
        <v>30</v>
      </c>
      <c r="B361" s="37" t="s">
        <v>30</v>
      </c>
      <c r="C361" s="5" t="s">
        <v>813</v>
      </c>
      <c r="E361" s="27"/>
      <c r="F361" s="83" t="s">
        <v>823</v>
      </c>
      <c r="G361" s="12" t="s">
        <v>824</v>
      </c>
      <c r="H361" s="65" t="s">
        <v>14</v>
      </c>
      <c r="I361" s="54" t="s">
        <v>15</v>
      </c>
      <c r="J361" s="51" t="s">
        <v>8</v>
      </c>
      <c r="K361" s="57" t="s">
        <v>15</v>
      </c>
      <c r="L361" s="51" t="s">
        <v>444</v>
      </c>
      <c r="M361" s="55">
        <v>2014</v>
      </c>
      <c r="N361" s="55">
        <v>2015</v>
      </c>
      <c r="O361" s="102">
        <v>9.7693999999999992</v>
      </c>
      <c r="P361" s="102"/>
      <c r="Q361" s="260"/>
      <c r="R361" s="146">
        <v>0.95561096000000001</v>
      </c>
      <c r="S361" s="146">
        <v>4.9144551399999994</v>
      </c>
      <c r="T361" s="146">
        <v>3.23814286</v>
      </c>
      <c r="U361" s="146"/>
      <c r="V361" s="146"/>
      <c r="W361" s="57" t="s">
        <v>13</v>
      </c>
      <c r="X361" s="57" t="s">
        <v>12</v>
      </c>
      <c r="Y361" s="54"/>
      <c r="Z361" s="292" t="s">
        <v>1021</v>
      </c>
      <c r="AA361" s="5" t="s">
        <v>816</v>
      </c>
      <c r="AB361" s="185" t="s">
        <v>1275</v>
      </c>
      <c r="AC361" s="117" t="s">
        <v>10</v>
      </c>
      <c r="AD36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36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0.93412606060606074</v>
      </c>
      <c r="AF36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4.7143905483017194</v>
      </c>
      <c r="AG36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3.0513948525179582</v>
      </c>
      <c r="AH361"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361"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61" s="10">
        <f t="shared" si="28"/>
        <v>8.6999114614257387</v>
      </c>
      <c r="AK361" s="10">
        <f t="shared" si="30"/>
        <v>0</v>
      </c>
      <c r="AL361" s="10">
        <f t="shared" si="29"/>
        <v>8.6999114614257387</v>
      </c>
      <c r="AM361" s="6"/>
    </row>
    <row r="362" spans="1:39" ht="31.5" customHeight="1">
      <c r="A362" s="5" t="s">
        <v>30</v>
      </c>
      <c r="B362" s="5" t="s">
        <v>30</v>
      </c>
      <c r="C362" s="5" t="s">
        <v>32</v>
      </c>
      <c r="D362" s="5" t="s">
        <v>61</v>
      </c>
      <c r="E362" s="57">
        <v>26</v>
      </c>
      <c r="F362" s="39"/>
      <c r="G362" s="5"/>
      <c r="H362" s="57" t="s">
        <v>26</v>
      </c>
      <c r="I362" s="57" t="s">
        <v>15</v>
      </c>
      <c r="J362" s="51" t="s">
        <v>8</v>
      </c>
      <c r="K362" s="57" t="s">
        <v>15</v>
      </c>
      <c r="L362" s="51" t="s">
        <v>1000</v>
      </c>
      <c r="M362" s="56" t="s">
        <v>29</v>
      </c>
      <c r="N362" s="56" t="s">
        <v>29</v>
      </c>
      <c r="O362" s="3">
        <v>28.086127507116402</v>
      </c>
      <c r="P362" s="3">
        <v>27.276427507116399</v>
      </c>
      <c r="Q362" s="261">
        <v>4.76</v>
      </c>
      <c r="R362" s="147">
        <v>3.5405850000000001</v>
      </c>
      <c r="S362" s="147">
        <v>3.82464</v>
      </c>
      <c r="T362" s="147">
        <v>1.82575</v>
      </c>
      <c r="U362" s="147">
        <v>3.9552499999999999</v>
      </c>
      <c r="V362" s="147">
        <v>0.92700000000000005</v>
      </c>
      <c r="W362" s="57" t="s">
        <v>13</v>
      </c>
      <c r="X362" s="123" t="s">
        <v>12</v>
      </c>
      <c r="Y362" s="81"/>
      <c r="Z362" s="292" t="s">
        <v>1021</v>
      </c>
      <c r="AA362" s="4" t="s">
        <v>338</v>
      </c>
      <c r="AB362" s="243" t="s">
        <v>1250</v>
      </c>
      <c r="AC362" s="117"/>
      <c r="AD36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4.76</v>
      </c>
      <c r="AE36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3.4609824046920821</v>
      </c>
      <c r="AF36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3.6689411446447129</v>
      </c>
      <c r="AG36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1.7204565681159176</v>
      </c>
      <c r="AH362"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3.6648431362391767</v>
      </c>
      <c r="AI362"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0.79586557042450057</v>
      </c>
      <c r="AJ362" s="32">
        <f t="shared" si="28"/>
        <v>13.610380117452712</v>
      </c>
      <c r="AK362" s="32">
        <f t="shared" si="30"/>
        <v>4.4607087066636772</v>
      </c>
      <c r="AL362" s="32">
        <f t="shared" si="29"/>
        <v>13.311088824116387</v>
      </c>
      <c r="AM362" s="6"/>
    </row>
    <row r="363" spans="1:39" ht="31.5" customHeight="1">
      <c r="A363" s="5" t="s">
        <v>30</v>
      </c>
      <c r="B363" s="5" t="s">
        <v>30</v>
      </c>
      <c r="C363" s="5" t="s">
        <v>32</v>
      </c>
      <c r="D363" s="5" t="s">
        <v>62</v>
      </c>
      <c r="E363" s="57">
        <v>20</v>
      </c>
      <c r="F363" s="39"/>
      <c r="G363" s="5"/>
      <c r="H363" s="57" t="s">
        <v>26</v>
      </c>
      <c r="I363" s="57" t="s">
        <v>15</v>
      </c>
      <c r="J363" s="51" t="s">
        <v>8</v>
      </c>
      <c r="K363" s="57" t="s">
        <v>15</v>
      </c>
      <c r="L363" s="51" t="s">
        <v>1000</v>
      </c>
      <c r="M363" s="56" t="s">
        <v>29</v>
      </c>
      <c r="N363" s="56" t="s">
        <v>29</v>
      </c>
      <c r="O363" s="3">
        <v>40.893786765396648</v>
      </c>
      <c r="P363" s="3">
        <v>40.066966765396643</v>
      </c>
      <c r="Q363" s="261">
        <v>13.13</v>
      </c>
      <c r="R363" s="147">
        <v>3.3774899999999999</v>
      </c>
      <c r="S363" s="147">
        <v>4.100950000000001</v>
      </c>
      <c r="T363" s="147">
        <v>3.8049500000000003</v>
      </c>
      <c r="U363" s="147">
        <v>13.549758000000002</v>
      </c>
      <c r="V363" s="147">
        <v>3.510392</v>
      </c>
      <c r="W363" s="57" t="s">
        <v>13</v>
      </c>
      <c r="X363" s="123" t="s">
        <v>12</v>
      </c>
      <c r="Y363" s="81"/>
      <c r="Z363" s="292" t="s">
        <v>1021</v>
      </c>
      <c r="AA363" s="4" t="s">
        <v>338</v>
      </c>
      <c r="AB363" s="243" t="s">
        <v>1250</v>
      </c>
      <c r="AC363" s="117"/>
      <c r="AD36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13.13</v>
      </c>
      <c r="AE36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3.3015542521994132</v>
      </c>
      <c r="AF36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3.9340027263038451</v>
      </c>
      <c r="AG36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3.5855134705478084</v>
      </c>
      <c r="AH363"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12.554892258138393</v>
      </c>
      <c r="AI363"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3.0138081245885688</v>
      </c>
      <c r="AJ363" s="32">
        <f t="shared" si="28"/>
        <v>23.95107044905107</v>
      </c>
      <c r="AK363" s="32">
        <f t="shared" si="30"/>
        <v>15.568700382726963</v>
      </c>
      <c r="AL363" s="32">
        <f t="shared" si="29"/>
        <v>26.38977083177803</v>
      </c>
      <c r="AM363" s="6"/>
    </row>
    <row r="364" spans="1:39" ht="31.5" customHeight="1">
      <c r="A364" s="5" t="s">
        <v>30</v>
      </c>
      <c r="B364" s="5" t="s">
        <v>30</v>
      </c>
      <c r="C364" s="5" t="s">
        <v>32</v>
      </c>
      <c r="D364" s="5" t="s">
        <v>63</v>
      </c>
      <c r="E364" s="57">
        <v>18</v>
      </c>
      <c r="F364" s="39"/>
      <c r="G364" s="5"/>
      <c r="H364" s="57" t="s">
        <v>26</v>
      </c>
      <c r="I364" s="57" t="s">
        <v>15</v>
      </c>
      <c r="J364" s="51" t="s">
        <v>8</v>
      </c>
      <c r="K364" s="57" t="s">
        <v>15</v>
      </c>
      <c r="L364" s="51" t="s">
        <v>1000</v>
      </c>
      <c r="M364" s="56" t="s">
        <v>29</v>
      </c>
      <c r="N364" s="56" t="s">
        <v>29</v>
      </c>
      <c r="O364" s="3">
        <v>26.211649494259156</v>
      </c>
      <c r="P364" s="3">
        <v>22.628349494259158</v>
      </c>
      <c r="Q364" s="261">
        <v>3.41</v>
      </c>
      <c r="R364" s="147">
        <v>3.6503950000000001</v>
      </c>
      <c r="S364" s="147">
        <v>4.5228799999999998</v>
      </c>
      <c r="T364" s="147">
        <v>3.3975500000000003</v>
      </c>
      <c r="U364" s="147">
        <v>8.1674500000000005</v>
      </c>
      <c r="V364" s="147">
        <v>1.35</v>
      </c>
      <c r="W364" s="57" t="s">
        <v>13</v>
      </c>
      <c r="X364" s="123" t="s">
        <v>12</v>
      </c>
      <c r="Y364" s="81"/>
      <c r="Z364" s="292" t="s">
        <v>1021</v>
      </c>
      <c r="AA364" s="4" t="s">
        <v>338</v>
      </c>
      <c r="AB364" s="243" t="s">
        <v>1250</v>
      </c>
      <c r="AC364" s="117"/>
      <c r="AD36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3.41</v>
      </c>
      <c r="AE36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3.5683235581622683</v>
      </c>
      <c r="AF36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4.338756203012748</v>
      </c>
      <c r="AG36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3.2016087706434271</v>
      </c>
      <c r="AH364"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7.5677701973520426</v>
      </c>
      <c r="AI364"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1.1590275297444184</v>
      </c>
      <c r="AJ364" s="32">
        <f t="shared" si="28"/>
        <v>14.518688531818443</v>
      </c>
      <c r="AK364" s="32">
        <f t="shared" si="30"/>
        <v>8.7267977270964607</v>
      </c>
      <c r="AL364" s="32">
        <f t="shared" si="29"/>
        <v>19.835486258914901</v>
      </c>
      <c r="AM364" s="6"/>
    </row>
    <row r="365" spans="1:39" ht="31.5" customHeight="1">
      <c r="A365" s="5" t="s">
        <v>30</v>
      </c>
      <c r="B365" s="5" t="s">
        <v>30</v>
      </c>
      <c r="C365" s="5" t="s">
        <v>32</v>
      </c>
      <c r="D365" s="5" t="s">
        <v>64</v>
      </c>
      <c r="E365" s="57">
        <v>9</v>
      </c>
      <c r="F365" s="39"/>
      <c r="G365" s="5"/>
      <c r="H365" s="65" t="s">
        <v>21</v>
      </c>
      <c r="I365" s="57" t="s">
        <v>15</v>
      </c>
      <c r="J365" s="51" t="s">
        <v>8</v>
      </c>
      <c r="K365" s="57" t="s">
        <v>15</v>
      </c>
      <c r="L365" s="51" t="s">
        <v>1000</v>
      </c>
      <c r="M365" s="56" t="s">
        <v>29</v>
      </c>
      <c r="N365" s="56" t="s">
        <v>29</v>
      </c>
      <c r="O365" s="3">
        <v>33.186199999999999</v>
      </c>
      <c r="P365" s="3">
        <v>32.941199999999995</v>
      </c>
      <c r="Q365" s="261">
        <v>6.14</v>
      </c>
      <c r="R365" s="147">
        <v>1.9967000000000001</v>
      </c>
      <c r="S365" s="147">
        <v>1.5572000000000001</v>
      </c>
      <c r="T365" s="147">
        <v>1.7230999999999999</v>
      </c>
      <c r="U365" s="147">
        <v>9.6902999999999988</v>
      </c>
      <c r="V365" s="147">
        <v>12.644</v>
      </c>
      <c r="W365" s="57" t="s">
        <v>13</v>
      </c>
      <c r="X365" s="123" t="s">
        <v>12</v>
      </c>
      <c r="Y365" s="81"/>
      <c r="Z365" s="292" t="s">
        <v>1021</v>
      </c>
      <c r="AA365" s="4" t="s">
        <v>338</v>
      </c>
      <c r="AB365" s="243" t="s">
        <v>1250</v>
      </c>
      <c r="AC365" s="117"/>
      <c r="AD36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6.14</v>
      </c>
      <c r="AE36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1.9518084066471166</v>
      </c>
      <c r="AF36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1.4938072996257812</v>
      </c>
      <c r="AG36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1.62372653020432</v>
      </c>
      <c r="AH365"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8.978807772732063</v>
      </c>
      <c r="AI365"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10.85536598969513</v>
      </c>
      <c r="AJ365" s="32">
        <f t="shared" si="28"/>
        <v>11.209342236477216</v>
      </c>
      <c r="AK365" s="32">
        <f t="shared" si="30"/>
        <v>19.834173762427191</v>
      </c>
      <c r="AL365" s="32">
        <f t="shared" si="29"/>
        <v>24.903515998904407</v>
      </c>
      <c r="AM365" s="6"/>
    </row>
    <row r="366" spans="1:39" ht="31.5" customHeight="1">
      <c r="A366" s="5" t="s">
        <v>30</v>
      </c>
      <c r="B366" s="5" t="s">
        <v>30</v>
      </c>
      <c r="C366" s="5" t="s">
        <v>32</v>
      </c>
      <c r="D366" s="5" t="s">
        <v>65</v>
      </c>
      <c r="E366" s="57">
        <v>8</v>
      </c>
      <c r="F366" s="39"/>
      <c r="G366" s="5"/>
      <c r="H366" s="65" t="s">
        <v>22</v>
      </c>
      <c r="I366" s="57" t="s">
        <v>15</v>
      </c>
      <c r="J366" s="51" t="s">
        <v>8</v>
      </c>
      <c r="K366" s="57" t="s">
        <v>15</v>
      </c>
      <c r="L366" s="51" t="s">
        <v>1000</v>
      </c>
      <c r="M366" s="56" t="s">
        <v>29</v>
      </c>
      <c r="N366" s="56" t="s">
        <v>29</v>
      </c>
      <c r="O366" s="3">
        <v>14.022</v>
      </c>
      <c r="P366" s="3">
        <v>7.577</v>
      </c>
      <c r="Q366" s="261">
        <v>0.92</v>
      </c>
      <c r="R366" s="147">
        <v>3.0998999999999999</v>
      </c>
      <c r="S366" s="147">
        <v>1.2832999999999999</v>
      </c>
      <c r="T366" s="147">
        <v>1.0575999999999999</v>
      </c>
      <c r="U366" s="147">
        <v>2.4707999999999997</v>
      </c>
      <c r="V366" s="147">
        <v>0.35199999999999998</v>
      </c>
      <c r="W366" s="57" t="s">
        <v>13</v>
      </c>
      <c r="X366" s="123" t="s">
        <v>12</v>
      </c>
      <c r="Y366" s="81"/>
      <c r="Z366" s="292" t="s">
        <v>1021</v>
      </c>
      <c r="AA366" s="4" t="s">
        <v>338</v>
      </c>
      <c r="AB366" s="243" t="s">
        <v>1250</v>
      </c>
      <c r="AC366" s="117"/>
      <c r="AD36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0.92</v>
      </c>
      <c r="AE36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3.0302052785923754</v>
      </c>
      <c r="AF36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1.2310576082775266</v>
      </c>
      <c r="AG36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0.9966068007336133</v>
      </c>
      <c r="AH366"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2.2893861123872719</v>
      </c>
      <c r="AI366"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0.3022056966444705</v>
      </c>
      <c r="AJ366" s="32">
        <f t="shared" si="28"/>
        <v>6.1778696876035157</v>
      </c>
      <c r="AK366" s="32">
        <f t="shared" si="30"/>
        <v>2.5915918090317422</v>
      </c>
      <c r="AL366" s="32">
        <f t="shared" si="29"/>
        <v>7.8494614966352589</v>
      </c>
      <c r="AM366" s="6"/>
    </row>
    <row r="367" spans="1:39" ht="31.5" customHeight="1">
      <c r="A367" s="5" t="s">
        <v>30</v>
      </c>
      <c r="B367" s="5" t="s">
        <v>30</v>
      </c>
      <c r="C367" s="5" t="s">
        <v>32</v>
      </c>
      <c r="D367" s="5" t="s">
        <v>339</v>
      </c>
      <c r="E367" s="57">
        <v>1</v>
      </c>
      <c r="F367" s="39"/>
      <c r="G367" s="5"/>
      <c r="H367" s="57" t="s">
        <v>18</v>
      </c>
      <c r="I367" s="57" t="s">
        <v>15</v>
      </c>
      <c r="J367" s="51" t="s">
        <v>8</v>
      </c>
      <c r="K367" s="57" t="s">
        <v>15</v>
      </c>
      <c r="L367" s="51" t="s">
        <v>1000</v>
      </c>
      <c r="M367" s="56" t="s">
        <v>29</v>
      </c>
      <c r="N367" s="56" t="s">
        <v>29</v>
      </c>
      <c r="O367" s="3">
        <v>4.9862470588235288</v>
      </c>
      <c r="P367" s="3">
        <v>4.9082470588235294</v>
      </c>
      <c r="Q367" s="261">
        <v>6.71</v>
      </c>
      <c r="R367" s="147">
        <v>1.8739267379679145</v>
      </c>
      <c r="S367" s="147">
        <v>1.3802058823529413</v>
      </c>
      <c r="T367" s="147">
        <v>0.3367048128342246</v>
      </c>
      <c r="U367" s="147">
        <v>0.61011443850267366</v>
      </c>
      <c r="V367" s="147"/>
      <c r="W367" s="57" t="s">
        <v>13</v>
      </c>
      <c r="X367" s="123" t="s">
        <v>12</v>
      </c>
      <c r="Y367" s="81"/>
      <c r="Z367" s="292" t="s">
        <v>1021</v>
      </c>
      <c r="AA367" s="4" t="s">
        <v>338</v>
      </c>
      <c r="AB367" s="243" t="s">
        <v>1250</v>
      </c>
      <c r="AC367" s="117"/>
      <c r="AD36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6.71</v>
      </c>
      <c r="AE36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1.8317954427838852</v>
      </c>
      <c r="AF36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1.3240185088911285</v>
      </c>
      <c r="AG36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0.31728659825106531</v>
      </c>
      <c r="AH367"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0.56531792232272116</v>
      </c>
      <c r="AI367"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67" s="32">
        <f t="shared" si="28"/>
        <v>10.183100549926079</v>
      </c>
      <c r="AK367" s="32">
        <f t="shared" si="30"/>
        <v>0.56531792232272116</v>
      </c>
      <c r="AL367" s="32">
        <f t="shared" si="29"/>
        <v>4.038418472248801</v>
      </c>
      <c r="AM367" s="6"/>
    </row>
    <row r="368" spans="1:39" ht="31.5" customHeight="1">
      <c r="A368" s="5" t="s">
        <v>30</v>
      </c>
      <c r="B368" s="5" t="s">
        <v>30</v>
      </c>
      <c r="C368" s="5" t="s">
        <v>32</v>
      </c>
      <c r="D368" s="5" t="s">
        <v>66</v>
      </c>
      <c r="E368" s="57">
        <v>20</v>
      </c>
      <c r="F368" s="39"/>
      <c r="G368" s="5"/>
      <c r="H368" s="65" t="s">
        <v>16</v>
      </c>
      <c r="I368" s="57" t="s">
        <v>15</v>
      </c>
      <c r="J368" s="51" t="s">
        <v>8</v>
      </c>
      <c r="K368" s="57" t="s">
        <v>15</v>
      </c>
      <c r="L368" s="51" t="s">
        <v>1000</v>
      </c>
      <c r="M368" s="56" t="s">
        <v>29</v>
      </c>
      <c r="N368" s="56" t="s">
        <v>29</v>
      </c>
      <c r="O368" s="3">
        <v>17.605804423283672</v>
      </c>
      <c r="P368" s="3">
        <v>17.485804423283671</v>
      </c>
      <c r="Q368" s="261">
        <v>2.81</v>
      </c>
      <c r="R368" s="147">
        <v>1.4901569518716575</v>
      </c>
      <c r="S368" s="147">
        <v>1.4470275764091538</v>
      </c>
      <c r="T368" s="147">
        <v>1.0018732983342875</v>
      </c>
      <c r="U368" s="147">
        <v>6.3338198950028621</v>
      </c>
      <c r="V368" s="147">
        <v>6.1348000000000003</v>
      </c>
      <c r="W368" s="57" t="s">
        <v>13</v>
      </c>
      <c r="X368" s="123" t="s">
        <v>12</v>
      </c>
      <c r="Y368" s="81"/>
      <c r="Z368" s="292" t="s">
        <v>1021</v>
      </c>
      <c r="AA368" s="4" t="s">
        <v>338</v>
      </c>
      <c r="AB368" s="243" t="s">
        <v>1250</v>
      </c>
      <c r="AC368" s="117"/>
      <c r="AD36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2.81</v>
      </c>
      <c r="AE36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1.4566539118980035</v>
      </c>
      <c r="AF36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1.3881199309014876</v>
      </c>
      <c r="AG36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0.94409393210416714</v>
      </c>
      <c r="AH368"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5.8687709672906596</v>
      </c>
      <c r="AI368"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5.2669645107230059</v>
      </c>
      <c r="AJ368" s="32">
        <f t="shared" si="28"/>
        <v>6.5988677749036579</v>
      </c>
      <c r="AK368" s="32">
        <f t="shared" si="30"/>
        <v>11.135735478013665</v>
      </c>
      <c r="AL368" s="32">
        <f t="shared" si="29"/>
        <v>14.924603252917324</v>
      </c>
      <c r="AM368" s="6"/>
    </row>
    <row r="369" spans="1:39" ht="31.5" customHeight="1">
      <c r="A369" s="5" t="s">
        <v>30</v>
      </c>
      <c r="B369" s="5" t="s">
        <v>30</v>
      </c>
      <c r="C369" s="5" t="s">
        <v>32</v>
      </c>
      <c r="D369" s="5" t="s">
        <v>67</v>
      </c>
      <c r="E369" s="57">
        <v>25</v>
      </c>
      <c r="F369" s="39"/>
      <c r="G369" s="5"/>
      <c r="H369" s="65" t="s">
        <v>25</v>
      </c>
      <c r="I369" s="57" t="s">
        <v>15</v>
      </c>
      <c r="J369" s="51" t="s">
        <v>8</v>
      </c>
      <c r="K369" s="57" t="s">
        <v>15</v>
      </c>
      <c r="L369" s="51" t="s">
        <v>1000</v>
      </c>
      <c r="M369" s="56" t="s">
        <v>29</v>
      </c>
      <c r="N369" s="56" t="s">
        <v>29</v>
      </c>
      <c r="O369" s="3">
        <v>79.713475365256457</v>
      </c>
      <c r="P369" s="3">
        <v>61.675475365256453</v>
      </c>
      <c r="Q369" s="261">
        <v>4.5599999999999996</v>
      </c>
      <c r="R369" s="147">
        <v>5.0230441554646408</v>
      </c>
      <c r="S369" s="147">
        <v>3.9028555230859148</v>
      </c>
      <c r="T369" s="147">
        <v>3.8988646405610754</v>
      </c>
      <c r="U369" s="147">
        <v>41.239175686732906</v>
      </c>
      <c r="V369" s="147">
        <v>22.644800000000004</v>
      </c>
      <c r="W369" s="57" t="s">
        <v>13</v>
      </c>
      <c r="X369" s="123" t="s">
        <v>12</v>
      </c>
      <c r="Y369" s="81"/>
      <c r="Z369" s="292" t="s">
        <v>1021</v>
      </c>
      <c r="AA369" s="4" t="s">
        <v>338</v>
      </c>
      <c r="AB369" s="243" t="s">
        <v>1250</v>
      </c>
      <c r="AC369" s="117"/>
      <c r="AD36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4.5599999999999996</v>
      </c>
      <c r="AE36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4.9101115889194924</v>
      </c>
      <c r="AF36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3.7439725595752216</v>
      </c>
      <c r="AG36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3.6740119288227899</v>
      </c>
      <c r="AH369"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38.211266028616301</v>
      </c>
      <c r="AI369"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19.441441930041783</v>
      </c>
      <c r="AJ369" s="32">
        <f t="shared" si="28"/>
        <v>16.888096077317503</v>
      </c>
      <c r="AK369" s="32">
        <f t="shared" si="30"/>
        <v>57.652707958658084</v>
      </c>
      <c r="AL369" s="32">
        <f t="shared" si="29"/>
        <v>69.980804035975581</v>
      </c>
      <c r="AM369" s="6"/>
    </row>
    <row r="370" spans="1:39" ht="31.5" customHeight="1">
      <c r="A370" s="5" t="s">
        <v>30</v>
      </c>
      <c r="B370" s="5" t="s">
        <v>30</v>
      </c>
      <c r="C370" s="5" t="s">
        <v>32</v>
      </c>
      <c r="D370" s="5" t="s">
        <v>68</v>
      </c>
      <c r="E370" s="57">
        <v>31</v>
      </c>
      <c r="F370" s="39"/>
      <c r="G370" s="5"/>
      <c r="H370" s="65" t="s">
        <v>25</v>
      </c>
      <c r="I370" s="57" t="s">
        <v>15</v>
      </c>
      <c r="J370" s="51" t="s">
        <v>8</v>
      </c>
      <c r="K370" s="57" t="s">
        <v>15</v>
      </c>
      <c r="L370" s="51" t="s">
        <v>1000</v>
      </c>
      <c r="M370" s="56" t="s">
        <v>29</v>
      </c>
      <c r="N370" s="56" t="s">
        <v>29</v>
      </c>
      <c r="O370" s="3">
        <v>16.54760963168825</v>
      </c>
      <c r="P370" s="3">
        <v>15.694809631688251</v>
      </c>
      <c r="Q370" s="261">
        <v>2.1800000000000002</v>
      </c>
      <c r="R370" s="147">
        <v>1.4678499999999999</v>
      </c>
      <c r="S370" s="147">
        <v>1.421030657940062</v>
      </c>
      <c r="T370" s="147">
        <v>2.2035306579400622</v>
      </c>
      <c r="U370" s="147">
        <v>7.5271919738201865</v>
      </c>
      <c r="V370" s="147">
        <v>0.71440000000000015</v>
      </c>
      <c r="W370" s="57" t="s">
        <v>13</v>
      </c>
      <c r="X370" s="123" t="s">
        <v>12</v>
      </c>
      <c r="Y370" s="81"/>
      <c r="Z370" s="292" t="s">
        <v>1021</v>
      </c>
      <c r="AA370" s="4" t="s">
        <v>338</v>
      </c>
      <c r="AB370" s="243" t="s">
        <v>1250</v>
      </c>
      <c r="AC370" s="117"/>
      <c r="AD37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2.1800000000000002</v>
      </c>
      <c r="AE37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1.4348484848484848</v>
      </c>
      <c r="AF37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1.3631813317639936</v>
      </c>
      <c r="AG37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2.076450112829122</v>
      </c>
      <c r="AH370"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6.9745219241285712</v>
      </c>
      <c r="AI370"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0.61334019796252781</v>
      </c>
      <c r="AJ370" s="32">
        <f t="shared" si="28"/>
        <v>7.0544799294415999</v>
      </c>
      <c r="AK370" s="32">
        <f t="shared" si="30"/>
        <v>7.5878621220910993</v>
      </c>
      <c r="AL370" s="32">
        <f t="shared" si="29"/>
        <v>12.462342051532699</v>
      </c>
      <c r="AM370" s="6"/>
    </row>
    <row r="371" spans="1:39" ht="31.5" customHeight="1">
      <c r="A371" s="5" t="s">
        <v>30</v>
      </c>
      <c r="B371" s="5" t="s">
        <v>30</v>
      </c>
      <c r="C371" s="5" t="s">
        <v>32</v>
      </c>
      <c r="D371" s="5" t="s">
        <v>340</v>
      </c>
      <c r="E371" s="57">
        <v>4</v>
      </c>
      <c r="F371" s="39"/>
      <c r="G371" s="5"/>
      <c r="H371" s="57" t="s">
        <v>20</v>
      </c>
      <c r="I371" s="57" t="s">
        <v>15</v>
      </c>
      <c r="J371" s="51" t="s">
        <v>8</v>
      </c>
      <c r="K371" s="57" t="s">
        <v>15</v>
      </c>
      <c r="L371" s="51" t="s">
        <v>1000</v>
      </c>
      <c r="M371" s="56" t="s">
        <v>29</v>
      </c>
      <c r="N371" s="56" t="s">
        <v>29</v>
      </c>
      <c r="O371" s="3">
        <v>11.475868486373669</v>
      </c>
      <c r="P371" s="3">
        <v>11.30086848637367</v>
      </c>
      <c r="Q371" s="261"/>
      <c r="R371" s="147">
        <v>1.5209824863736683</v>
      </c>
      <c r="S371" s="147">
        <v>2.5609999999999999</v>
      </c>
      <c r="T371" s="147">
        <v>2.3210000000000002</v>
      </c>
      <c r="U371" s="147">
        <v>5.7270000000000003</v>
      </c>
      <c r="V371" s="147">
        <v>1.02</v>
      </c>
      <c r="W371" s="57" t="s">
        <v>13</v>
      </c>
      <c r="X371" s="123" t="s">
        <v>12</v>
      </c>
      <c r="Y371" s="81"/>
      <c r="Z371" s="292" t="s">
        <v>1021</v>
      </c>
      <c r="AA371" s="4" t="s">
        <v>338</v>
      </c>
      <c r="AB371" s="243" t="s">
        <v>1250</v>
      </c>
      <c r="AC371" s="117"/>
      <c r="AD37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37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1.4867863991922465</v>
      </c>
      <c r="AF37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2.4567431892766667</v>
      </c>
      <c r="AG37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2.1871448416251105</v>
      </c>
      <c r="AH371"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5.3065056927480612</v>
      </c>
      <c r="AI371"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0.87570968914022718</v>
      </c>
      <c r="AJ371" s="32">
        <f t="shared" si="28"/>
        <v>6.1306744300940235</v>
      </c>
      <c r="AK371" s="32">
        <f t="shared" si="30"/>
        <v>6.1822153818882883</v>
      </c>
      <c r="AL371" s="32">
        <f t="shared" si="29"/>
        <v>12.312889811982313</v>
      </c>
      <c r="AM371" s="6"/>
    </row>
    <row r="372" spans="1:39" ht="31.5" customHeight="1">
      <c r="A372" s="5" t="s">
        <v>30</v>
      </c>
      <c r="B372" s="5" t="s">
        <v>30</v>
      </c>
      <c r="C372" s="5" t="s">
        <v>32</v>
      </c>
      <c r="D372" s="5" t="s">
        <v>69</v>
      </c>
      <c r="E372" s="57">
        <v>17</v>
      </c>
      <c r="F372" s="39"/>
      <c r="G372" s="5"/>
      <c r="H372" s="65" t="s">
        <v>16</v>
      </c>
      <c r="I372" s="57" t="s">
        <v>15</v>
      </c>
      <c r="J372" s="51" t="s">
        <v>8</v>
      </c>
      <c r="K372" s="57" t="s">
        <v>15</v>
      </c>
      <c r="L372" s="51" t="s">
        <v>1000</v>
      </c>
      <c r="M372" s="56" t="s">
        <v>29</v>
      </c>
      <c r="N372" s="56" t="s">
        <v>29</v>
      </c>
      <c r="O372" s="3">
        <v>51.833797202234116</v>
      </c>
      <c r="P372" s="3">
        <v>40.553797202234115</v>
      </c>
      <c r="Q372" s="261">
        <v>4.8499999999999996</v>
      </c>
      <c r="R372" s="147">
        <v>3.9055221546957872</v>
      </c>
      <c r="S372" s="147">
        <v>4.140479530558185</v>
      </c>
      <c r="T372" s="147">
        <v>4.4567257606766066</v>
      </c>
      <c r="U372" s="147">
        <v>13.104795516980143</v>
      </c>
      <c r="V372" s="147">
        <v>22.907</v>
      </c>
      <c r="W372" s="57" t="s">
        <v>13</v>
      </c>
      <c r="X372" s="123" t="s">
        <v>12</v>
      </c>
      <c r="Y372" s="81"/>
      <c r="Z372" s="292" t="s">
        <v>1021</v>
      </c>
      <c r="AA372" s="4" t="s">
        <v>338</v>
      </c>
      <c r="AB372" s="243" t="s">
        <v>1250</v>
      </c>
      <c r="AC372" s="117"/>
      <c r="AD37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4.8499999999999996</v>
      </c>
      <c r="AE37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3.8177147162226657</v>
      </c>
      <c r="AF37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3.9719230328146309</v>
      </c>
      <c r="AG37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4.1997004558386841</v>
      </c>
      <c r="AH372"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12.142600316597589</v>
      </c>
      <c r="AI372"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19.666550832485473</v>
      </c>
      <c r="AJ372" s="32">
        <f t="shared" si="28"/>
        <v>16.839338204875979</v>
      </c>
      <c r="AK372" s="32">
        <f t="shared" si="30"/>
        <v>31.809151149083064</v>
      </c>
      <c r="AL372" s="32">
        <f t="shared" si="29"/>
        <v>43.798489353959042</v>
      </c>
      <c r="AM372" s="6"/>
    </row>
    <row r="373" spans="1:39" ht="31.5" customHeight="1">
      <c r="A373" s="5" t="s">
        <v>30</v>
      </c>
      <c r="B373" s="5" t="s">
        <v>30</v>
      </c>
      <c r="C373" s="5" t="s">
        <v>32</v>
      </c>
      <c r="D373" s="5" t="s">
        <v>70</v>
      </c>
      <c r="E373" s="57">
        <v>15</v>
      </c>
      <c r="F373" s="39"/>
      <c r="G373" s="5"/>
      <c r="H373" s="65" t="s">
        <v>14</v>
      </c>
      <c r="I373" s="57" t="s">
        <v>15</v>
      </c>
      <c r="J373" s="51" t="s">
        <v>8</v>
      </c>
      <c r="K373" s="57" t="s">
        <v>15</v>
      </c>
      <c r="L373" s="51" t="s">
        <v>1000</v>
      </c>
      <c r="M373" s="56" t="s">
        <v>29</v>
      </c>
      <c r="N373" s="56" t="s">
        <v>29</v>
      </c>
      <c r="O373" s="3">
        <v>42.175170000000001</v>
      </c>
      <c r="P373" s="3">
        <v>29.561170000000001</v>
      </c>
      <c r="Q373" s="261">
        <v>7.81</v>
      </c>
      <c r="R373" s="147">
        <v>2.2916999999999996</v>
      </c>
      <c r="S373" s="147">
        <v>14.3375</v>
      </c>
      <c r="T373" s="147">
        <v>1.45479</v>
      </c>
      <c r="U373" s="147">
        <v>13.029770000000001</v>
      </c>
      <c r="V373" s="147">
        <v>6.4109000000000007</v>
      </c>
      <c r="W373" s="57" t="s">
        <v>13</v>
      </c>
      <c r="X373" s="123" t="s">
        <v>12</v>
      </c>
      <c r="Y373" s="81"/>
      <c r="Z373" s="292" t="s">
        <v>1021</v>
      </c>
      <c r="AA373" s="4" t="s">
        <v>338</v>
      </c>
      <c r="AB373" s="243" t="s">
        <v>1250</v>
      </c>
      <c r="AC373" s="117"/>
      <c r="AD37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7.81</v>
      </c>
      <c r="AE37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2.2401759530791785</v>
      </c>
      <c r="AF37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13.753828768549084</v>
      </c>
      <c r="AG37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1.3708903249236513</v>
      </c>
      <c r="AH373"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12.073083408450829</v>
      </c>
      <c r="AI373"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5.5040071040285126</v>
      </c>
      <c r="AJ373" s="32">
        <f t="shared" si="28"/>
        <v>25.17489504655191</v>
      </c>
      <c r="AK373" s="32">
        <f t="shared" si="30"/>
        <v>17.577090512479341</v>
      </c>
      <c r="AL373" s="32">
        <f t="shared" si="29"/>
        <v>34.941985559031252</v>
      </c>
      <c r="AM373" s="6"/>
    </row>
    <row r="374" spans="1:39" ht="31.5" customHeight="1">
      <c r="A374" s="5" t="s">
        <v>30</v>
      </c>
      <c r="B374" s="5" t="s">
        <v>30</v>
      </c>
      <c r="C374" s="18" t="s">
        <v>1004</v>
      </c>
      <c r="D374" s="5"/>
      <c r="E374" s="84"/>
      <c r="F374" s="11" t="s">
        <v>58</v>
      </c>
      <c r="G374" s="11" t="s">
        <v>59</v>
      </c>
      <c r="H374" s="57" t="s">
        <v>26</v>
      </c>
      <c r="I374" s="57" t="s">
        <v>15</v>
      </c>
      <c r="J374" s="51" t="s">
        <v>8</v>
      </c>
      <c r="K374" s="57" t="s">
        <v>282</v>
      </c>
      <c r="L374" s="51" t="s">
        <v>1054</v>
      </c>
      <c r="M374" s="55">
        <v>2013</v>
      </c>
      <c r="N374" s="55">
        <v>2017</v>
      </c>
      <c r="O374" s="102">
        <v>64.386399999999995</v>
      </c>
      <c r="P374" s="102">
        <v>64.386399999999995</v>
      </c>
      <c r="Q374" s="260">
        <v>0.6</v>
      </c>
      <c r="R374" s="146">
        <v>1.6279999999999999</v>
      </c>
      <c r="S374" s="146">
        <v>3.6</v>
      </c>
      <c r="T374" s="146">
        <v>3.1</v>
      </c>
      <c r="U374" s="146">
        <v>56.795999999999999</v>
      </c>
      <c r="V374" s="146">
        <v>1.24</v>
      </c>
      <c r="W374" s="57" t="s">
        <v>13</v>
      </c>
      <c r="X374" s="57" t="s">
        <v>12</v>
      </c>
      <c r="Y374" s="57"/>
      <c r="Z374" s="292" t="s">
        <v>1021</v>
      </c>
      <c r="AA374" s="5" t="s">
        <v>338</v>
      </c>
      <c r="AB374" s="5"/>
      <c r="AC374" s="117"/>
      <c r="AD37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0.6</v>
      </c>
      <c r="AE37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1.5913978494623655</v>
      </c>
      <c r="AF37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3.4534461075345564</v>
      </c>
      <c r="AG37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2.92121887507016</v>
      </c>
      <c r="AH374"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52.625859494555414</v>
      </c>
      <c r="AI374"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1.0645882495430212</v>
      </c>
      <c r="AJ374" s="32">
        <f t="shared" si="28"/>
        <v>8.5660628320670824</v>
      </c>
      <c r="AK374" s="32">
        <f t="shared" si="30"/>
        <v>53.690447744098435</v>
      </c>
      <c r="AL374" s="32">
        <f t="shared" si="29"/>
        <v>61.656510576165516</v>
      </c>
      <c r="AM374" s="6"/>
    </row>
    <row r="375" spans="1:39" ht="31.5" customHeight="1">
      <c r="A375" s="5" t="s">
        <v>30</v>
      </c>
      <c r="B375" s="5" t="s">
        <v>30</v>
      </c>
      <c r="C375" s="18" t="s">
        <v>1004</v>
      </c>
      <c r="D375" s="5"/>
      <c r="E375" s="84"/>
      <c r="F375" s="11" t="s">
        <v>33</v>
      </c>
      <c r="G375" s="11" t="s">
        <v>34</v>
      </c>
      <c r="H375" s="57" t="s">
        <v>26</v>
      </c>
      <c r="I375" s="57" t="s">
        <v>15</v>
      </c>
      <c r="J375" s="51" t="s">
        <v>8</v>
      </c>
      <c r="K375" s="57" t="s">
        <v>282</v>
      </c>
      <c r="L375" s="51" t="s">
        <v>1054</v>
      </c>
      <c r="M375" s="55">
        <v>2002</v>
      </c>
      <c r="N375" s="55">
        <v>2020</v>
      </c>
      <c r="O375" s="102">
        <v>151.642</v>
      </c>
      <c r="P375" s="102">
        <v>151.642</v>
      </c>
      <c r="Q375" s="260">
        <v>9.4</v>
      </c>
      <c r="R375" s="146">
        <v>7.399</v>
      </c>
      <c r="S375" s="146">
        <v>8.1</v>
      </c>
      <c r="T375" s="146">
        <v>2.02</v>
      </c>
      <c r="U375" s="146">
        <v>14.224200000000002</v>
      </c>
      <c r="V375" s="146">
        <v>4.4708000000000006</v>
      </c>
      <c r="W375" s="57" t="s">
        <v>341</v>
      </c>
      <c r="X375" s="57" t="s">
        <v>12</v>
      </c>
      <c r="Y375" s="57"/>
      <c r="Z375" s="292" t="s">
        <v>1021</v>
      </c>
      <c r="AA375" s="5" t="s">
        <v>338</v>
      </c>
      <c r="AB375" s="5" t="s">
        <v>342</v>
      </c>
      <c r="AC375" s="117"/>
      <c r="AD37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9.4</v>
      </c>
      <c r="AE37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7.2326490713587486</v>
      </c>
      <c r="AF37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7.770253741952752</v>
      </c>
      <c r="AG37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1.9035039121424915</v>
      </c>
      <c r="AH375"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13.17981461057918</v>
      </c>
      <c r="AI375"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3.8383557629491452</v>
      </c>
      <c r="AJ375" s="32">
        <f t="shared" si="28"/>
        <v>26.306406725453989</v>
      </c>
      <c r="AK375" s="32">
        <f t="shared" si="30"/>
        <v>17.018170373528324</v>
      </c>
      <c r="AL375" s="32">
        <f t="shared" si="29"/>
        <v>33.924577098982319</v>
      </c>
      <c r="AM375" s="6"/>
    </row>
    <row r="376" spans="1:39" ht="31.5" customHeight="1">
      <c r="A376" s="5" t="s">
        <v>30</v>
      </c>
      <c r="B376" s="5" t="s">
        <v>30</v>
      </c>
      <c r="C376" s="18" t="s">
        <v>1004</v>
      </c>
      <c r="D376" s="5"/>
      <c r="E376" s="84"/>
      <c r="F376" s="11" t="s">
        <v>348</v>
      </c>
      <c r="G376" s="11" t="s">
        <v>349</v>
      </c>
      <c r="H376" s="65" t="s">
        <v>25</v>
      </c>
      <c r="I376" s="57" t="s">
        <v>15</v>
      </c>
      <c r="J376" s="51" t="s">
        <v>8</v>
      </c>
      <c r="K376" s="57" t="s">
        <v>282</v>
      </c>
      <c r="L376" s="51" t="s">
        <v>1054</v>
      </c>
      <c r="M376" s="55">
        <v>2000</v>
      </c>
      <c r="N376" s="55">
        <v>2025</v>
      </c>
      <c r="O376" s="102">
        <v>50.488799999997994</v>
      </c>
      <c r="P376" s="102">
        <v>45.317799999997995</v>
      </c>
      <c r="Q376" s="260">
        <v>1.4</v>
      </c>
      <c r="R376" s="146">
        <v>1.72</v>
      </c>
      <c r="S376" s="146">
        <v>1.78</v>
      </c>
      <c r="T376" s="146">
        <v>1.84</v>
      </c>
      <c r="U376" s="146">
        <v>13.45</v>
      </c>
      <c r="V376" s="146">
        <v>9.3514000000000017</v>
      </c>
      <c r="W376" s="57" t="s">
        <v>341</v>
      </c>
      <c r="X376" s="57" t="s">
        <v>12</v>
      </c>
      <c r="Y376" s="57"/>
      <c r="Z376" s="292" t="s">
        <v>1021</v>
      </c>
      <c r="AA376" s="5" t="s">
        <v>338</v>
      </c>
      <c r="AB376" s="5"/>
      <c r="AC376" s="117"/>
      <c r="AD37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1.4</v>
      </c>
      <c r="AE37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1.6813294232649072</v>
      </c>
      <c r="AF37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1.7075372420587529</v>
      </c>
      <c r="AG37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1.7338847516545466</v>
      </c>
      <c r="AH376"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12.462458803468031</v>
      </c>
      <c r="AI376"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8.0285407715940416</v>
      </c>
      <c r="AJ376" s="32">
        <f t="shared" si="28"/>
        <v>6.5227514169782062</v>
      </c>
      <c r="AK376" s="32">
        <f t="shared" si="30"/>
        <v>20.490999575062073</v>
      </c>
      <c r="AL376" s="32">
        <f t="shared" si="29"/>
        <v>25.613750992040281</v>
      </c>
      <c r="AM376" s="6"/>
    </row>
    <row r="377" spans="1:39" ht="31.5" customHeight="1">
      <c r="A377" s="5" t="s">
        <v>30</v>
      </c>
      <c r="B377" s="5" t="s">
        <v>30</v>
      </c>
      <c r="C377" s="18" t="s">
        <v>1004</v>
      </c>
      <c r="D377" s="5"/>
      <c r="E377" s="84"/>
      <c r="F377" s="11" t="s">
        <v>346</v>
      </c>
      <c r="G377" s="11" t="s">
        <v>347</v>
      </c>
      <c r="H377" s="65" t="s">
        <v>25</v>
      </c>
      <c r="I377" s="57" t="s">
        <v>15</v>
      </c>
      <c r="J377" s="51" t="s">
        <v>8</v>
      </c>
      <c r="K377" s="57" t="s">
        <v>282</v>
      </c>
      <c r="L377" s="51" t="s">
        <v>444</v>
      </c>
      <c r="M377" s="55">
        <v>2017</v>
      </c>
      <c r="N377" s="55">
        <v>2019</v>
      </c>
      <c r="O377" s="102">
        <v>53.914000000000001</v>
      </c>
      <c r="P377" s="102"/>
      <c r="Q377" s="260"/>
      <c r="R377" s="146"/>
      <c r="S377" s="146"/>
      <c r="T377" s="146">
        <v>0.13</v>
      </c>
      <c r="U377" s="146">
        <v>12.26</v>
      </c>
      <c r="V377" s="146">
        <v>41.908999999999999</v>
      </c>
      <c r="W377" s="57" t="s">
        <v>13</v>
      </c>
      <c r="X377" s="57" t="s">
        <v>12</v>
      </c>
      <c r="Y377" s="57"/>
      <c r="Z377" s="292" t="s">
        <v>1021</v>
      </c>
      <c r="AA377" s="5" t="s">
        <v>338</v>
      </c>
      <c r="AB377" s="5"/>
      <c r="AC377" s="117"/>
      <c r="AD37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37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37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37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0.12250272701907124</v>
      </c>
      <c r="AH377"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11.359832336841491</v>
      </c>
      <c r="AI377"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35.980507217821348</v>
      </c>
      <c r="AJ377" s="32">
        <f t="shared" si="28"/>
        <v>0.12250272701907124</v>
      </c>
      <c r="AK377" s="32">
        <f t="shared" si="30"/>
        <v>47.34033955466284</v>
      </c>
      <c r="AL377" s="32">
        <f t="shared" si="29"/>
        <v>47.462842281681908</v>
      </c>
      <c r="AM377" s="6"/>
    </row>
    <row r="378" spans="1:39" ht="31.5" customHeight="1">
      <c r="A378" s="5" t="s">
        <v>30</v>
      </c>
      <c r="B378" s="5" t="s">
        <v>30</v>
      </c>
      <c r="C378" s="18" t="s">
        <v>1004</v>
      </c>
      <c r="D378" s="5"/>
      <c r="E378" s="84"/>
      <c r="F378" s="11" t="s">
        <v>1320</v>
      </c>
      <c r="G378" s="11" t="s">
        <v>343</v>
      </c>
      <c r="H378" s="65" t="s">
        <v>25</v>
      </c>
      <c r="I378" s="57" t="s">
        <v>15</v>
      </c>
      <c r="J378" s="51" t="s">
        <v>8</v>
      </c>
      <c r="K378" s="57" t="s">
        <v>282</v>
      </c>
      <c r="L378" s="51" t="s">
        <v>444</v>
      </c>
      <c r="M378" s="55">
        <v>2014</v>
      </c>
      <c r="N378" s="55">
        <v>2024</v>
      </c>
      <c r="O378" s="102">
        <v>314.48</v>
      </c>
      <c r="P378" s="102">
        <v>314.48</v>
      </c>
      <c r="Q378" s="260"/>
      <c r="R378" s="146"/>
      <c r="S378" s="146">
        <v>1.37</v>
      </c>
      <c r="T378" s="146">
        <v>7.35</v>
      </c>
      <c r="U378" s="146">
        <v>168.96</v>
      </c>
      <c r="V378" s="146">
        <v>136.80000000000001</v>
      </c>
      <c r="W378" s="57" t="s">
        <v>13</v>
      </c>
      <c r="X378" s="57" t="s">
        <v>12</v>
      </c>
      <c r="Y378" s="57"/>
      <c r="Z378" s="292" t="s">
        <v>1021</v>
      </c>
      <c r="AA378" s="5" t="s">
        <v>338</v>
      </c>
      <c r="AB378" s="5"/>
      <c r="AC378" s="117" t="s">
        <v>10</v>
      </c>
      <c r="AD37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37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37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1.3142281020339839</v>
      </c>
      <c r="AG37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6.9261157199244119</v>
      </c>
      <c r="AH378"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156.55442672371439</v>
      </c>
      <c r="AI378"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117.44812301410107</v>
      </c>
      <c r="AJ378" s="32">
        <f t="shared" si="28"/>
        <v>8.2403438219583958</v>
      </c>
      <c r="AK378" s="32">
        <f t="shared" si="30"/>
        <v>274.00254973781546</v>
      </c>
      <c r="AL378" s="32">
        <f t="shared" si="29"/>
        <v>282.24289355977385</v>
      </c>
      <c r="AM378" s="6"/>
    </row>
    <row r="379" spans="1:39" ht="31.5" customHeight="1">
      <c r="A379" s="5" t="s">
        <v>30</v>
      </c>
      <c r="B379" s="5" t="s">
        <v>30</v>
      </c>
      <c r="C379" s="5" t="s">
        <v>31</v>
      </c>
      <c r="D379" s="5" t="s">
        <v>61</v>
      </c>
      <c r="E379" s="57">
        <v>22</v>
      </c>
      <c r="F379" s="39"/>
      <c r="G379" s="5"/>
      <c r="H379" s="57" t="s">
        <v>26</v>
      </c>
      <c r="I379" s="57" t="s">
        <v>15</v>
      </c>
      <c r="J379" s="51" t="s">
        <v>8</v>
      </c>
      <c r="K379" s="57" t="s">
        <v>282</v>
      </c>
      <c r="L379" s="51" t="s">
        <v>1000</v>
      </c>
      <c r="M379" s="56" t="s">
        <v>29</v>
      </c>
      <c r="N379" s="56" t="s">
        <v>29</v>
      </c>
      <c r="O379" s="3">
        <v>77.282971434457224</v>
      </c>
      <c r="P379" s="3">
        <v>51.052038434457224</v>
      </c>
      <c r="Q379" s="261">
        <v>4.79</v>
      </c>
      <c r="R379" s="147">
        <v>9.420839803410221</v>
      </c>
      <c r="S379" s="147">
        <v>6.4910219227921733</v>
      </c>
      <c r="T379" s="147">
        <v>5.4314319684376366</v>
      </c>
      <c r="U379" s="147">
        <v>20.968403617286437</v>
      </c>
      <c r="V379" s="147">
        <v>25.020636744186046</v>
      </c>
      <c r="W379" s="57" t="s">
        <v>13</v>
      </c>
      <c r="X379" s="123" t="s">
        <v>12</v>
      </c>
      <c r="Y379" s="81"/>
      <c r="Z379" s="292" t="s">
        <v>1021</v>
      </c>
      <c r="AA379" s="4" t="s">
        <v>338</v>
      </c>
      <c r="AB379" s="243" t="s">
        <v>1251</v>
      </c>
      <c r="AC379" s="117"/>
      <c r="AD37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4.79</v>
      </c>
      <c r="AE37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9.209032065894645</v>
      </c>
      <c r="AF37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6.2267762203300281</v>
      </c>
      <c r="AG37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5.1181940596320965</v>
      </c>
      <c r="AH379"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19.428837639771171</v>
      </c>
      <c r="AI379"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21.481190220923242</v>
      </c>
      <c r="AJ379" s="32">
        <f t="shared" si="28"/>
        <v>25.344002345856769</v>
      </c>
      <c r="AK379" s="32">
        <f t="shared" si="30"/>
        <v>40.910027860694413</v>
      </c>
      <c r="AL379" s="32">
        <f t="shared" si="29"/>
        <v>61.464030206551179</v>
      </c>
      <c r="AM379" s="6"/>
    </row>
    <row r="380" spans="1:39" ht="31.5" customHeight="1">
      <c r="A380" s="5" t="s">
        <v>30</v>
      </c>
      <c r="B380" s="5" t="s">
        <v>30</v>
      </c>
      <c r="C380" s="5" t="s">
        <v>31</v>
      </c>
      <c r="D380" s="5" t="s">
        <v>62</v>
      </c>
      <c r="E380" s="57">
        <v>21</v>
      </c>
      <c r="F380" s="39"/>
      <c r="G380" s="5"/>
      <c r="H380" s="57" t="s">
        <v>26</v>
      </c>
      <c r="I380" s="57" t="s">
        <v>15</v>
      </c>
      <c r="J380" s="51" t="s">
        <v>8</v>
      </c>
      <c r="K380" s="57" t="s">
        <v>282</v>
      </c>
      <c r="L380" s="51" t="s">
        <v>1000</v>
      </c>
      <c r="M380" s="56" t="s">
        <v>29</v>
      </c>
      <c r="N380" s="56" t="s">
        <v>29</v>
      </c>
      <c r="O380" s="3">
        <v>268.31144</v>
      </c>
      <c r="P380" s="3">
        <v>216.27323999999999</v>
      </c>
      <c r="Q380" s="261">
        <v>19.05</v>
      </c>
      <c r="R380" s="147">
        <v>33.447438007272503</v>
      </c>
      <c r="S380" s="147">
        <v>30.199780927076144</v>
      </c>
      <c r="T380" s="147">
        <v>24.594639427357855</v>
      </c>
      <c r="U380" s="147">
        <v>58.14950065517516</v>
      </c>
      <c r="V380" s="147">
        <v>57.83728</v>
      </c>
      <c r="W380" s="57" t="s">
        <v>13</v>
      </c>
      <c r="X380" s="123" t="s">
        <v>12</v>
      </c>
      <c r="Y380" s="81"/>
      <c r="Z380" s="292" t="s">
        <v>1021</v>
      </c>
      <c r="AA380" s="4" t="s">
        <v>338</v>
      </c>
      <c r="AB380" s="243" t="s">
        <v>1251</v>
      </c>
      <c r="AC380" s="117"/>
      <c r="AD38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19.05</v>
      </c>
      <c r="AE38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32.695442822358267</v>
      </c>
      <c r="AF38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28.970365525279846</v>
      </c>
      <c r="AG38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23.176233845400816</v>
      </c>
      <c r="AH380"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53.879981885305405</v>
      </c>
      <c r="AI380"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49.655555381878706</v>
      </c>
      <c r="AJ380" s="32">
        <f t="shared" si="28"/>
        <v>103.89204219303893</v>
      </c>
      <c r="AK380" s="32">
        <f t="shared" si="30"/>
        <v>103.53553726718411</v>
      </c>
      <c r="AL380" s="32">
        <f t="shared" si="29"/>
        <v>188.37757946022305</v>
      </c>
      <c r="AM380" s="6"/>
    </row>
    <row r="381" spans="1:39" ht="31.5" customHeight="1">
      <c r="A381" s="5" t="s">
        <v>30</v>
      </c>
      <c r="B381" s="5" t="s">
        <v>30</v>
      </c>
      <c r="C381" s="5" t="s">
        <v>31</v>
      </c>
      <c r="D381" s="5" t="s">
        <v>63</v>
      </c>
      <c r="E381" s="57">
        <v>21</v>
      </c>
      <c r="F381" s="39"/>
      <c r="G381" s="5"/>
      <c r="H381" s="57" t="s">
        <v>26</v>
      </c>
      <c r="I381" s="57" t="s">
        <v>15</v>
      </c>
      <c r="J381" s="51" t="s">
        <v>8</v>
      </c>
      <c r="K381" s="57" t="s">
        <v>282</v>
      </c>
      <c r="L381" s="51" t="s">
        <v>1000</v>
      </c>
      <c r="M381" s="56" t="s">
        <v>29</v>
      </c>
      <c r="N381" s="56" t="s">
        <v>29</v>
      </c>
      <c r="O381" s="3">
        <v>284.82005400000003</v>
      </c>
      <c r="P381" s="3">
        <v>255.96214169999999</v>
      </c>
      <c r="Q381" s="261">
        <v>22.14</v>
      </c>
      <c r="R381" s="147">
        <v>34.131674729477702</v>
      </c>
      <c r="S381" s="147">
        <v>33.52800738785767</v>
      </c>
      <c r="T381" s="147">
        <v>11.888617434346338</v>
      </c>
      <c r="U381" s="147">
        <v>94.215058622928439</v>
      </c>
      <c r="V381" s="147">
        <v>64.927440000000004</v>
      </c>
      <c r="W381" s="57" t="s">
        <v>13</v>
      </c>
      <c r="X381" s="123" t="s">
        <v>12</v>
      </c>
      <c r="Y381" s="81"/>
      <c r="Z381" s="292" t="s">
        <v>1021</v>
      </c>
      <c r="AA381" s="4" t="s">
        <v>338</v>
      </c>
      <c r="AB381" s="243" t="s">
        <v>1251</v>
      </c>
      <c r="AC381" s="117"/>
      <c r="AD38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22.14</v>
      </c>
      <c r="AE38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33.364295923243112</v>
      </c>
      <c r="AF38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32.163101835274141</v>
      </c>
      <c r="AG38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11.202985047645388</v>
      </c>
      <c r="AH381"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87.29749343900157</v>
      </c>
      <c r="AI381"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55.742733626539959</v>
      </c>
      <c r="AJ381" s="32">
        <f t="shared" si="28"/>
        <v>98.870382806162638</v>
      </c>
      <c r="AK381" s="32">
        <f t="shared" si="30"/>
        <v>143.04022706554153</v>
      </c>
      <c r="AL381" s="32">
        <f t="shared" si="29"/>
        <v>219.77060987170415</v>
      </c>
      <c r="AM381" s="6"/>
    </row>
    <row r="382" spans="1:39" ht="31.5" customHeight="1">
      <c r="A382" s="5" t="s">
        <v>30</v>
      </c>
      <c r="B382" s="5" t="s">
        <v>30</v>
      </c>
      <c r="C382" s="5" t="s">
        <v>31</v>
      </c>
      <c r="D382" s="5" t="s">
        <v>64</v>
      </c>
      <c r="E382" s="57">
        <v>36</v>
      </c>
      <c r="F382" s="39"/>
      <c r="G382" s="5"/>
      <c r="H382" s="65" t="s">
        <v>21</v>
      </c>
      <c r="I382" s="57" t="s">
        <v>15</v>
      </c>
      <c r="J382" s="51" t="s">
        <v>8</v>
      </c>
      <c r="K382" s="57" t="s">
        <v>282</v>
      </c>
      <c r="L382" s="51" t="s">
        <v>1000</v>
      </c>
      <c r="M382" s="56" t="s">
        <v>29</v>
      </c>
      <c r="N382" s="56" t="s">
        <v>29</v>
      </c>
      <c r="O382" s="3">
        <v>270.27600000000001</v>
      </c>
      <c r="P382" s="3">
        <v>246.78299999999999</v>
      </c>
      <c r="Q382" s="261">
        <v>15.98</v>
      </c>
      <c r="R382" s="147">
        <v>26.061932956346897</v>
      </c>
      <c r="S382" s="147">
        <v>33.366507869882049</v>
      </c>
      <c r="T382" s="147">
        <v>20.178874194294522</v>
      </c>
      <c r="U382" s="147">
        <v>104.02128167499211</v>
      </c>
      <c r="V382" s="147">
        <v>49.514400000000002</v>
      </c>
      <c r="W382" s="57" t="s">
        <v>13</v>
      </c>
      <c r="X382" s="123" t="s">
        <v>12</v>
      </c>
      <c r="Y382" s="81"/>
      <c r="Z382" s="292" t="s">
        <v>1021</v>
      </c>
      <c r="AA382" s="4" t="s">
        <v>338</v>
      </c>
      <c r="AB382" s="243" t="s">
        <v>1251</v>
      </c>
      <c r="AC382" s="117"/>
      <c r="AD38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15.98</v>
      </c>
      <c r="AE38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25.475985294571746</v>
      </c>
      <c r="AF38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32.008176868129247</v>
      </c>
      <c r="AG38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19.015131669044944</v>
      </c>
      <c r="AH382"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96.383712829630724</v>
      </c>
      <c r="AI382"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42.510039050945949</v>
      </c>
      <c r="AJ382" s="32">
        <f t="shared" si="28"/>
        <v>92.479293831745949</v>
      </c>
      <c r="AK382" s="32">
        <f t="shared" si="30"/>
        <v>138.89375188057667</v>
      </c>
      <c r="AL382" s="32">
        <f t="shared" si="29"/>
        <v>215.39304571232262</v>
      </c>
      <c r="AM382" s="6"/>
    </row>
    <row r="383" spans="1:39" ht="31.5" customHeight="1">
      <c r="A383" s="5" t="s">
        <v>30</v>
      </c>
      <c r="B383" s="5" t="s">
        <v>30</v>
      </c>
      <c r="C383" s="5" t="s">
        <v>31</v>
      </c>
      <c r="D383" s="5" t="s">
        <v>65</v>
      </c>
      <c r="E383" s="57">
        <v>28</v>
      </c>
      <c r="F383" s="39"/>
      <c r="G383" s="5"/>
      <c r="H383" s="65" t="s">
        <v>22</v>
      </c>
      <c r="I383" s="57" t="s">
        <v>15</v>
      </c>
      <c r="J383" s="51" t="s">
        <v>8</v>
      </c>
      <c r="K383" s="57" t="s">
        <v>282</v>
      </c>
      <c r="L383" s="51" t="s">
        <v>1000</v>
      </c>
      <c r="M383" s="56" t="s">
        <v>29</v>
      </c>
      <c r="N383" s="56" t="s">
        <v>29</v>
      </c>
      <c r="O383" s="3">
        <v>164.7517</v>
      </c>
      <c r="P383" s="3">
        <v>102.6737</v>
      </c>
      <c r="Q383" s="261">
        <v>26.68</v>
      </c>
      <c r="R383" s="147">
        <v>22.454743275810703</v>
      </c>
      <c r="S383" s="147">
        <v>39.324106835884329</v>
      </c>
      <c r="T383" s="147">
        <v>11.641173407826793</v>
      </c>
      <c r="U383" s="147">
        <v>32.806820299766272</v>
      </c>
      <c r="V383" s="147">
        <v>11.115200000000002</v>
      </c>
      <c r="W383" s="57" t="s">
        <v>13</v>
      </c>
      <c r="X383" s="123" t="s">
        <v>12</v>
      </c>
      <c r="Y383" s="81"/>
      <c r="Z383" s="292" t="s">
        <v>1021</v>
      </c>
      <c r="AA383" s="4" t="s">
        <v>338</v>
      </c>
      <c r="AB383" s="243" t="s">
        <v>1251</v>
      </c>
      <c r="AC383" s="117"/>
      <c r="AD38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26.68</v>
      </c>
      <c r="AE38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21.949895675279279</v>
      </c>
      <c r="AF38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37.723245467960496</v>
      </c>
      <c r="AG38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10.969811447389821</v>
      </c>
      <c r="AH383"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30.398040628893373</v>
      </c>
      <c r="AI383"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9.5428317026778977</v>
      </c>
      <c r="AJ383" s="32">
        <f t="shared" si="28"/>
        <v>97.322952590629598</v>
      </c>
      <c r="AK383" s="32">
        <f t="shared" si="30"/>
        <v>39.940872331571271</v>
      </c>
      <c r="AL383" s="32">
        <f t="shared" si="29"/>
        <v>110.58382492220085</v>
      </c>
      <c r="AM383" s="6"/>
    </row>
    <row r="384" spans="1:39" ht="31.5" customHeight="1">
      <c r="A384" s="5" t="s">
        <v>30</v>
      </c>
      <c r="B384" s="5" t="s">
        <v>30</v>
      </c>
      <c r="C384" s="5" t="s">
        <v>31</v>
      </c>
      <c r="D384" s="5" t="s">
        <v>339</v>
      </c>
      <c r="E384" s="57">
        <v>19</v>
      </c>
      <c r="F384" s="39"/>
      <c r="G384" s="5"/>
      <c r="H384" s="57" t="s">
        <v>18</v>
      </c>
      <c r="I384" s="57" t="s">
        <v>15</v>
      </c>
      <c r="J384" s="51" t="s">
        <v>8</v>
      </c>
      <c r="K384" s="57" t="s">
        <v>282</v>
      </c>
      <c r="L384" s="51" t="s">
        <v>1000</v>
      </c>
      <c r="M384" s="56" t="s">
        <v>29</v>
      </c>
      <c r="N384" s="56" t="s">
        <v>29</v>
      </c>
      <c r="O384" s="3">
        <v>16.8659</v>
      </c>
      <c r="P384" s="3">
        <v>5.9658999999999995</v>
      </c>
      <c r="Q384" s="261">
        <v>14.59</v>
      </c>
      <c r="R384" s="147">
        <v>3.2052191015908584</v>
      </c>
      <c r="S384" s="147">
        <v>1.3182118501455882</v>
      </c>
      <c r="T384" s="147">
        <v>0.8404782588074563</v>
      </c>
      <c r="U384" s="147">
        <v>7.7681313129613407</v>
      </c>
      <c r="V384" s="147">
        <v>2.4292000000000002</v>
      </c>
      <c r="W384" s="57" t="s">
        <v>13</v>
      </c>
      <c r="X384" s="123" t="s">
        <v>12</v>
      </c>
      <c r="Y384" s="81"/>
      <c r="Z384" s="292" t="s">
        <v>1021</v>
      </c>
      <c r="AA384" s="4" t="s">
        <v>338</v>
      </c>
      <c r="AB384" s="243" t="s">
        <v>1251</v>
      </c>
      <c r="AC384" s="117"/>
      <c r="AD38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14.59</v>
      </c>
      <c r="AE38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3.1331565020438501</v>
      </c>
      <c r="AF38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1.264548217442002</v>
      </c>
      <c r="AG38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0.79200675926272401</v>
      </c>
      <c r="AH384"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7.197770741093735</v>
      </c>
      <c r="AI384"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2.0855627224112157</v>
      </c>
      <c r="AJ384" s="32">
        <f t="shared" si="28"/>
        <v>19.779711478748574</v>
      </c>
      <c r="AK384" s="32">
        <f t="shared" si="30"/>
        <v>9.2833334635049507</v>
      </c>
      <c r="AL384" s="32">
        <f t="shared" si="29"/>
        <v>14.473044942253527</v>
      </c>
      <c r="AM384" s="6"/>
    </row>
    <row r="385" spans="1:39" ht="31.5" customHeight="1">
      <c r="A385" s="5" t="s">
        <v>30</v>
      </c>
      <c r="B385" s="5" t="s">
        <v>30</v>
      </c>
      <c r="C385" s="5" t="s">
        <v>31</v>
      </c>
      <c r="D385" s="5" t="s">
        <v>66</v>
      </c>
      <c r="E385" s="57">
        <v>25</v>
      </c>
      <c r="F385" s="39"/>
      <c r="G385" s="5"/>
      <c r="H385" s="65" t="s">
        <v>16</v>
      </c>
      <c r="I385" s="57" t="s">
        <v>15</v>
      </c>
      <c r="J385" s="51" t="s">
        <v>8</v>
      </c>
      <c r="K385" s="57" t="s">
        <v>282</v>
      </c>
      <c r="L385" s="51" t="s">
        <v>1000</v>
      </c>
      <c r="M385" s="56" t="s">
        <v>29</v>
      </c>
      <c r="N385" s="56" t="s">
        <v>29</v>
      </c>
      <c r="O385" s="3">
        <v>137.00032897188956</v>
      </c>
      <c r="P385" s="3">
        <v>86.724828971889565</v>
      </c>
      <c r="Q385" s="261">
        <v>5.03</v>
      </c>
      <c r="R385" s="147">
        <v>13.427904777285667</v>
      </c>
      <c r="S385" s="147">
        <v>11.099197071480059</v>
      </c>
      <c r="T385" s="147">
        <v>16.753080362942175</v>
      </c>
      <c r="U385" s="147">
        <v>67.16320015211852</v>
      </c>
      <c r="V385" s="147">
        <v>25.793228971889562</v>
      </c>
      <c r="W385" s="57" t="s">
        <v>13</v>
      </c>
      <c r="X385" s="123" t="s">
        <v>12</v>
      </c>
      <c r="Y385" s="81"/>
      <c r="Z385" s="292" t="s">
        <v>1021</v>
      </c>
      <c r="AA385" s="4" t="s">
        <v>338</v>
      </c>
      <c r="AB385" s="243" t="s">
        <v>1251</v>
      </c>
      <c r="AC385" s="117"/>
      <c r="AD38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5.03</v>
      </c>
      <c r="AE38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13.126006624912675</v>
      </c>
      <c r="AF38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10.6473552564616</v>
      </c>
      <c r="AG38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15.78690792638514</v>
      </c>
      <c r="AH385"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62.231867286606303</v>
      </c>
      <c r="AI385"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22.144490710682462</v>
      </c>
      <c r="AJ385" s="32">
        <f t="shared" si="28"/>
        <v>44.590269807759412</v>
      </c>
      <c r="AK385" s="32">
        <f t="shared" si="30"/>
        <v>84.376357997288764</v>
      </c>
      <c r="AL385" s="32">
        <f t="shared" si="29"/>
        <v>123.93662780504818</v>
      </c>
      <c r="AM385" s="6"/>
    </row>
    <row r="386" spans="1:39" ht="31.5" customHeight="1">
      <c r="A386" s="5" t="s">
        <v>30</v>
      </c>
      <c r="B386" s="5" t="s">
        <v>30</v>
      </c>
      <c r="C386" s="5" t="s">
        <v>31</v>
      </c>
      <c r="D386" s="5" t="s">
        <v>67</v>
      </c>
      <c r="E386" s="57">
        <v>56</v>
      </c>
      <c r="F386" s="39"/>
      <c r="G386" s="5"/>
      <c r="H386" s="65" t="s">
        <v>25</v>
      </c>
      <c r="I386" s="57" t="s">
        <v>15</v>
      </c>
      <c r="J386" s="51" t="s">
        <v>8</v>
      </c>
      <c r="K386" s="57" t="s">
        <v>282</v>
      </c>
      <c r="L386" s="51" t="s">
        <v>1000</v>
      </c>
      <c r="M386" s="56" t="s">
        <v>29</v>
      </c>
      <c r="N386" s="56" t="s">
        <v>29</v>
      </c>
      <c r="O386" s="147">
        <v>779.4483446285584</v>
      </c>
      <c r="P386" s="3">
        <v>501.67882372051616</v>
      </c>
      <c r="Q386" s="261">
        <v>36.590000000000003</v>
      </c>
      <c r="R386" s="147">
        <v>34.084046865958378</v>
      </c>
      <c r="S386" s="147">
        <v>67.279599431540149</v>
      </c>
      <c r="T386" s="147">
        <v>58.564212995636218</v>
      </c>
      <c r="U386" s="147">
        <v>312.27761086969031</v>
      </c>
      <c r="V386" s="147">
        <v>200.98447544675426</v>
      </c>
      <c r="W386" s="57" t="s">
        <v>13</v>
      </c>
      <c r="X386" s="123" t="s">
        <v>12</v>
      </c>
      <c r="Y386" s="81"/>
      <c r="Z386" s="292" t="s">
        <v>1021</v>
      </c>
      <c r="AA386" s="4" t="s">
        <v>338</v>
      </c>
      <c r="AB386" s="243" t="s">
        <v>1251</v>
      </c>
      <c r="AC386" s="117"/>
      <c r="AD38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36.590000000000003</v>
      </c>
      <c r="AE38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33.317738871904574</v>
      </c>
      <c r="AF38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64.540686325926799</v>
      </c>
      <c r="AG38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55.186736905316671</v>
      </c>
      <c r="AH386"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289.34920897464207</v>
      </c>
      <c r="AI386"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172.55299266224392</v>
      </c>
      <c r="AJ386" s="10">
        <f t="shared" ref="AJ386:AJ449" si="31">SUM(AD386:AG386)</f>
        <v>189.63516210314805</v>
      </c>
      <c r="AK386" s="10">
        <f t="shared" si="30"/>
        <v>461.90220163688599</v>
      </c>
      <c r="AL386" s="10">
        <f t="shared" ref="AL386:AL449" si="32">+AJ386+AK386-AD386</f>
        <v>614.94736374003401</v>
      </c>
      <c r="AM386" s="6"/>
    </row>
    <row r="387" spans="1:39" ht="31.5" customHeight="1">
      <c r="A387" s="5" t="s">
        <v>30</v>
      </c>
      <c r="B387" s="5" t="s">
        <v>30</v>
      </c>
      <c r="C387" s="5" t="s">
        <v>31</v>
      </c>
      <c r="D387" s="5" t="s">
        <v>68</v>
      </c>
      <c r="E387" s="57">
        <v>75</v>
      </c>
      <c r="F387" s="39"/>
      <c r="G387" s="5"/>
      <c r="H387" s="65" t="s">
        <v>25</v>
      </c>
      <c r="I387" s="57" t="s">
        <v>15</v>
      </c>
      <c r="J387" s="51" t="s">
        <v>8</v>
      </c>
      <c r="K387" s="57" t="s">
        <v>282</v>
      </c>
      <c r="L387" s="51" t="s">
        <v>1000</v>
      </c>
      <c r="M387" s="56" t="s">
        <v>29</v>
      </c>
      <c r="N387" s="56" t="s">
        <v>29</v>
      </c>
      <c r="O387" s="147">
        <v>403.83512702172936</v>
      </c>
      <c r="P387" s="3">
        <v>265.19644897667558</v>
      </c>
      <c r="Q387" s="261">
        <v>38.69</v>
      </c>
      <c r="R387" s="147">
        <v>49.085466320711177</v>
      </c>
      <c r="S387" s="147">
        <v>43.473123358130678</v>
      </c>
      <c r="T387" s="147">
        <v>27.97114322016931</v>
      </c>
      <c r="U387" s="147">
        <v>125.96383105413213</v>
      </c>
      <c r="V387" s="147">
        <v>38.704472574719695</v>
      </c>
      <c r="W387" s="57" t="s">
        <v>13</v>
      </c>
      <c r="X387" s="123" t="s">
        <v>12</v>
      </c>
      <c r="Y387" s="81"/>
      <c r="Z387" s="292" t="s">
        <v>1021</v>
      </c>
      <c r="AA387" s="4" t="s">
        <v>338</v>
      </c>
      <c r="AB387" s="243" t="s">
        <v>1251</v>
      </c>
      <c r="AC387" s="117"/>
      <c r="AD38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38.69</v>
      </c>
      <c r="AE38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47.981883011447877</v>
      </c>
      <c r="AF38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41.703357956529445</v>
      </c>
      <c r="AG38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26.358010171628816</v>
      </c>
      <c r="AH387"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116.71517139324376</v>
      </c>
      <c r="AI387"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33.229295732102187</v>
      </c>
      <c r="AJ387" s="10">
        <f t="shared" si="31"/>
        <v>154.73325113960615</v>
      </c>
      <c r="AK387" s="10">
        <f t="shared" si="30"/>
        <v>149.94446712534597</v>
      </c>
      <c r="AL387" s="10">
        <f t="shared" si="32"/>
        <v>265.98771826495209</v>
      </c>
      <c r="AM387" s="6"/>
    </row>
    <row r="388" spans="1:39" ht="31.5" customHeight="1">
      <c r="A388" s="5" t="s">
        <v>30</v>
      </c>
      <c r="B388" s="5" t="s">
        <v>30</v>
      </c>
      <c r="C388" s="5" t="s">
        <v>31</v>
      </c>
      <c r="D388" s="5" t="s">
        <v>340</v>
      </c>
      <c r="E388" s="57">
        <v>17</v>
      </c>
      <c r="F388" s="39"/>
      <c r="G388" s="5"/>
      <c r="H388" s="57" t="s">
        <v>20</v>
      </c>
      <c r="I388" s="57" t="s">
        <v>15</v>
      </c>
      <c r="J388" s="51" t="s">
        <v>8</v>
      </c>
      <c r="K388" s="57" t="s">
        <v>282</v>
      </c>
      <c r="L388" s="51" t="s">
        <v>1000</v>
      </c>
      <c r="M388" s="56" t="s">
        <v>29</v>
      </c>
      <c r="N388" s="56" t="s">
        <v>29</v>
      </c>
      <c r="O388" s="147">
        <v>304.68129999999996</v>
      </c>
      <c r="P388" s="3">
        <v>224.52709999999999</v>
      </c>
      <c r="Q388" s="261"/>
      <c r="R388" s="147">
        <v>19.57213019120255</v>
      </c>
      <c r="S388" s="147">
        <v>25.280706165484268</v>
      </c>
      <c r="T388" s="147">
        <v>19.930503064506972</v>
      </c>
      <c r="U388" s="147">
        <v>125.29441378089737</v>
      </c>
      <c r="V388" s="147">
        <v>56.861800000000002</v>
      </c>
      <c r="W388" s="57" t="s">
        <v>13</v>
      </c>
      <c r="X388" s="123" t="s">
        <v>12</v>
      </c>
      <c r="Y388" s="81"/>
      <c r="Z388" s="292" t="s">
        <v>1021</v>
      </c>
      <c r="AA388" s="4" t="s">
        <v>338</v>
      </c>
      <c r="AB388" s="243" t="s">
        <v>1251</v>
      </c>
      <c r="AC388" s="117"/>
      <c r="AD38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38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19.132092073511778</v>
      </c>
      <c r="AF38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24.251543417476807</v>
      </c>
      <c r="AG38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18.781084432800462</v>
      </c>
      <c r="AH388"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116.0949048363651</v>
      </c>
      <c r="AI388"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48.818067845052717</v>
      </c>
      <c r="AJ388" s="10">
        <f t="shared" si="31"/>
        <v>62.164719923789043</v>
      </c>
      <c r="AK388" s="10">
        <f t="shared" si="30"/>
        <v>164.91297268141781</v>
      </c>
      <c r="AL388" s="10">
        <f t="shared" si="32"/>
        <v>227.07769260520686</v>
      </c>
      <c r="AM388" s="6"/>
    </row>
    <row r="389" spans="1:39" ht="31.5" customHeight="1">
      <c r="A389" s="5" t="s">
        <v>30</v>
      </c>
      <c r="B389" s="5" t="s">
        <v>30</v>
      </c>
      <c r="C389" s="5" t="s">
        <v>31</v>
      </c>
      <c r="D389" s="5" t="s">
        <v>69</v>
      </c>
      <c r="E389" s="57">
        <v>45</v>
      </c>
      <c r="F389" s="39"/>
      <c r="G389" s="5"/>
      <c r="H389" s="65" t="s">
        <v>16</v>
      </c>
      <c r="I389" s="57" t="s">
        <v>15</v>
      </c>
      <c r="J389" s="51" t="s">
        <v>8</v>
      </c>
      <c r="K389" s="57" t="s">
        <v>282</v>
      </c>
      <c r="L389" s="51" t="s">
        <v>1000</v>
      </c>
      <c r="M389" s="56" t="s">
        <v>29</v>
      </c>
      <c r="N389" s="56" t="s">
        <v>29</v>
      </c>
      <c r="O389" s="147">
        <v>139.41905555555556</v>
      </c>
      <c r="P389" s="3">
        <v>96.411599999999993</v>
      </c>
      <c r="Q389" s="261">
        <v>5.9</v>
      </c>
      <c r="R389" s="147">
        <v>11.366400363889344</v>
      </c>
      <c r="S389" s="147">
        <v>24.86774552823605</v>
      </c>
      <c r="T389" s="147">
        <v>22.185432361575963</v>
      </c>
      <c r="U389" s="147">
        <v>60.50301581694201</v>
      </c>
      <c r="V389" s="147">
        <v>8.8673999999999999</v>
      </c>
      <c r="W389" s="57" t="s">
        <v>13</v>
      </c>
      <c r="X389" s="123" t="s">
        <v>12</v>
      </c>
      <c r="Y389" s="81"/>
      <c r="Z389" s="292" t="s">
        <v>1021</v>
      </c>
      <c r="AA389" s="4" t="s">
        <v>338</v>
      </c>
      <c r="AB389" s="243" t="s">
        <v>1251</v>
      </c>
      <c r="AC389" s="117"/>
      <c r="AD38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5.9</v>
      </c>
      <c r="AE38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11.110850795590759</v>
      </c>
      <c r="AF38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23.85539416601296</v>
      </c>
      <c r="AG38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20.905968956847762</v>
      </c>
      <c r="AH389"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56.060694580238987</v>
      </c>
      <c r="AI389"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7.6130079387078924</v>
      </c>
      <c r="AJ389" s="10">
        <f t="shared" si="31"/>
        <v>61.772213918451484</v>
      </c>
      <c r="AK389" s="10">
        <f t="shared" si="30"/>
        <v>63.673702518946882</v>
      </c>
      <c r="AL389" s="10">
        <f t="shared" si="32"/>
        <v>119.54591643739836</v>
      </c>
      <c r="AM389" s="6"/>
    </row>
    <row r="390" spans="1:39" ht="31.5" customHeight="1">
      <c r="A390" s="5" t="s">
        <v>30</v>
      </c>
      <c r="B390" s="5" t="s">
        <v>30</v>
      </c>
      <c r="C390" s="5" t="s">
        <v>31</v>
      </c>
      <c r="D390" s="5" t="s">
        <v>70</v>
      </c>
      <c r="E390" s="57">
        <v>48</v>
      </c>
      <c r="F390" s="39"/>
      <c r="G390" s="5"/>
      <c r="H390" s="65" t="s">
        <v>14</v>
      </c>
      <c r="I390" s="57" t="s">
        <v>15</v>
      </c>
      <c r="J390" s="51" t="s">
        <v>8</v>
      </c>
      <c r="K390" s="57" t="s">
        <v>282</v>
      </c>
      <c r="L390" s="51" t="s">
        <v>1000</v>
      </c>
      <c r="M390" s="56" t="s">
        <v>29</v>
      </c>
      <c r="N390" s="56" t="s">
        <v>29</v>
      </c>
      <c r="O390" s="147">
        <v>375.97796998472631</v>
      </c>
      <c r="P390" s="3">
        <v>307.486175</v>
      </c>
      <c r="Q390" s="261">
        <v>23.94</v>
      </c>
      <c r="R390" s="147">
        <v>41.022970524326276</v>
      </c>
      <c r="S390" s="147">
        <v>48.633561420615493</v>
      </c>
      <c r="T390" s="147">
        <v>40.763459054084521</v>
      </c>
      <c r="U390" s="147">
        <v>127.45893267948748</v>
      </c>
      <c r="V390" s="147">
        <v>34.596054651393025</v>
      </c>
      <c r="W390" s="57" t="s">
        <v>13</v>
      </c>
      <c r="X390" s="123" t="s">
        <v>12</v>
      </c>
      <c r="Y390" s="81"/>
      <c r="Z390" s="292" t="s">
        <v>1021</v>
      </c>
      <c r="AA390" s="4" t="s">
        <v>338</v>
      </c>
      <c r="AB390" s="243" t="s">
        <v>1251</v>
      </c>
      <c r="AC390" s="117"/>
      <c r="AD39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23.94</v>
      </c>
      <c r="AE39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40.100655448999291</v>
      </c>
      <c r="AF39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46.653717606546486</v>
      </c>
      <c r="AG39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38.41257612965849</v>
      </c>
      <c r="AH390"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118.1004979667002</v>
      </c>
      <c r="AI390"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29.702059082597742</v>
      </c>
      <c r="AJ390" s="10">
        <f t="shared" si="31"/>
        <v>149.10694918520426</v>
      </c>
      <c r="AK390" s="10">
        <f t="shared" si="30"/>
        <v>147.80255704929795</v>
      </c>
      <c r="AL390" s="10">
        <f t="shared" si="32"/>
        <v>272.96950623450221</v>
      </c>
      <c r="AM390" s="6"/>
    </row>
    <row r="391" spans="1:39" ht="31.5" customHeight="1">
      <c r="A391" s="13" t="s">
        <v>210</v>
      </c>
      <c r="B391" s="6" t="s">
        <v>37</v>
      </c>
      <c r="C391" s="6" t="s">
        <v>37</v>
      </c>
      <c r="D391" s="6" t="s">
        <v>801</v>
      </c>
      <c r="E391" s="1">
        <v>22</v>
      </c>
      <c r="G391" s="6" t="s">
        <v>802</v>
      </c>
      <c r="H391" s="64" t="s">
        <v>6</v>
      </c>
      <c r="I391" s="1" t="s">
        <v>15</v>
      </c>
      <c r="J391" s="51" t="s">
        <v>8</v>
      </c>
      <c r="K391" s="1" t="s">
        <v>282</v>
      </c>
      <c r="L391" s="51" t="s">
        <v>1000</v>
      </c>
      <c r="M391" s="56">
        <v>2012</v>
      </c>
      <c r="N391" s="56">
        <v>2017</v>
      </c>
      <c r="O391" s="48">
        <v>916.08</v>
      </c>
      <c r="P391" s="14">
        <v>300</v>
      </c>
      <c r="Q391" s="258">
        <v>20</v>
      </c>
      <c r="R391" s="48">
        <v>140</v>
      </c>
      <c r="S391" s="48">
        <v>160</v>
      </c>
      <c r="T391" s="48"/>
      <c r="U391" s="48"/>
      <c r="V391" s="48"/>
      <c r="W391" s="57" t="s">
        <v>13</v>
      </c>
      <c r="X391" s="51" t="s">
        <v>12</v>
      </c>
      <c r="Y391" s="92"/>
      <c r="Z391" s="303" t="s">
        <v>1022</v>
      </c>
      <c r="AA391" s="15" t="s">
        <v>1171</v>
      </c>
      <c r="AB391" s="15"/>
      <c r="AC391" s="117" t="s">
        <v>10</v>
      </c>
      <c r="AD39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20</v>
      </c>
      <c r="AE39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136.85239491691104</v>
      </c>
      <c r="AF39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153.48649366820251</v>
      </c>
      <c r="AG39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391"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391"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91" s="32">
        <f t="shared" si="31"/>
        <v>310.33888858511352</v>
      </c>
      <c r="AK391" s="32">
        <f t="shared" si="30"/>
        <v>0</v>
      </c>
      <c r="AL391" s="32">
        <f t="shared" si="32"/>
        <v>290.33888858511352</v>
      </c>
      <c r="AM391" s="6"/>
    </row>
    <row r="392" spans="1:39" ht="31.5" customHeight="1">
      <c r="A392" s="13" t="s">
        <v>210</v>
      </c>
      <c r="B392" s="6" t="s">
        <v>37</v>
      </c>
      <c r="C392" s="6" t="s">
        <v>37</v>
      </c>
      <c r="D392" s="6" t="s">
        <v>1055</v>
      </c>
      <c r="E392" s="1">
        <v>2</v>
      </c>
      <c r="G392" s="6" t="s">
        <v>1170</v>
      </c>
      <c r="H392" s="64" t="s">
        <v>6</v>
      </c>
      <c r="I392" s="1" t="s">
        <v>7</v>
      </c>
      <c r="J392" s="51" t="s">
        <v>8</v>
      </c>
      <c r="K392" s="1" t="s">
        <v>282</v>
      </c>
      <c r="L392" s="51" t="s">
        <v>1000</v>
      </c>
      <c r="M392" s="56">
        <v>2011</v>
      </c>
      <c r="N392" s="56">
        <v>2015</v>
      </c>
      <c r="O392" s="48">
        <v>66</v>
      </c>
      <c r="P392" s="14">
        <v>66</v>
      </c>
      <c r="Q392" s="258"/>
      <c r="R392" s="48">
        <v>31.58</v>
      </c>
      <c r="S392" s="48">
        <v>28.4</v>
      </c>
      <c r="T392" s="48"/>
      <c r="U392" s="48"/>
      <c r="V392" s="48"/>
      <c r="W392" s="57" t="s">
        <v>13</v>
      </c>
      <c r="X392" s="51" t="s">
        <v>12</v>
      </c>
      <c r="Y392" s="90"/>
      <c r="Z392" s="303" t="s">
        <v>1023</v>
      </c>
      <c r="AA392" s="15" t="s">
        <v>1171</v>
      </c>
      <c r="AB392" s="15"/>
      <c r="AC392" s="117" t="s">
        <v>10</v>
      </c>
      <c r="AD39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39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30.869990224828936</v>
      </c>
      <c r="AF39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27.243852626105944</v>
      </c>
      <c r="AG39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392"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392"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92" s="32">
        <f t="shared" si="31"/>
        <v>58.11384285093488</v>
      </c>
      <c r="AK392" s="32">
        <f t="shared" ref="AK392" si="33">+SUM(AH392:AI392)</f>
        <v>0</v>
      </c>
      <c r="AL392" s="32">
        <f t="shared" si="32"/>
        <v>58.11384285093488</v>
      </c>
      <c r="AM392" s="6"/>
    </row>
    <row r="393" spans="1:39" ht="31.5" customHeight="1">
      <c r="A393" s="13" t="s">
        <v>210</v>
      </c>
      <c r="B393" s="6" t="s">
        <v>37</v>
      </c>
      <c r="C393" s="6" t="s">
        <v>37</v>
      </c>
      <c r="D393" s="26"/>
      <c r="F393" s="6" t="s">
        <v>808</v>
      </c>
      <c r="G393" s="21" t="s">
        <v>811</v>
      </c>
      <c r="H393" s="64" t="s">
        <v>6</v>
      </c>
      <c r="I393" s="1" t="s">
        <v>7</v>
      </c>
      <c r="J393" s="51" t="s">
        <v>8</v>
      </c>
      <c r="K393" s="1" t="s">
        <v>282</v>
      </c>
      <c r="L393" s="51" t="s">
        <v>444</v>
      </c>
      <c r="M393" s="55">
        <v>2015</v>
      </c>
      <c r="N393" s="55">
        <v>2015</v>
      </c>
      <c r="O393" s="48">
        <v>160</v>
      </c>
      <c r="P393" s="14">
        <v>90</v>
      </c>
      <c r="Q393" s="258"/>
      <c r="R393" s="48"/>
      <c r="S393" s="48"/>
      <c r="T393" s="48"/>
      <c r="U393" s="48">
        <v>160</v>
      </c>
      <c r="V393" s="48"/>
      <c r="W393" s="57" t="s">
        <v>13</v>
      </c>
      <c r="X393" s="51" t="s">
        <v>12</v>
      </c>
      <c r="Y393" s="92"/>
      <c r="Z393" s="303" t="s">
        <v>1024</v>
      </c>
      <c r="AA393" s="15" t="s">
        <v>1171</v>
      </c>
      <c r="AB393" s="15" t="s">
        <v>1245</v>
      </c>
      <c r="AC393" s="117" t="s">
        <v>10</v>
      </c>
      <c r="AD39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39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39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39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393"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148.25229803382044</v>
      </c>
      <c r="AI393"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93" s="10">
        <f t="shared" si="31"/>
        <v>0</v>
      </c>
      <c r="AK393" s="10">
        <f t="shared" si="30"/>
        <v>148.25229803382044</v>
      </c>
      <c r="AL393" s="10">
        <f t="shared" si="32"/>
        <v>148.25229803382044</v>
      </c>
      <c r="AM393" s="6"/>
    </row>
    <row r="394" spans="1:39" ht="31.5" customHeight="1">
      <c r="A394" s="13" t="s">
        <v>210</v>
      </c>
      <c r="B394" s="6" t="s">
        <v>37</v>
      </c>
      <c r="C394" s="6" t="s">
        <v>37</v>
      </c>
      <c r="D394" s="26"/>
      <c r="F394" s="6" t="s">
        <v>803</v>
      </c>
      <c r="G394" s="6" t="s">
        <v>804</v>
      </c>
      <c r="H394" s="1" t="s">
        <v>25</v>
      </c>
      <c r="I394" s="1" t="s">
        <v>15</v>
      </c>
      <c r="J394" s="51" t="s">
        <v>8</v>
      </c>
      <c r="K394" s="1" t="s">
        <v>282</v>
      </c>
      <c r="L394" s="51" t="s">
        <v>1054</v>
      </c>
      <c r="M394" s="55">
        <v>2012</v>
      </c>
      <c r="N394" s="55">
        <v>2017</v>
      </c>
      <c r="O394" s="48">
        <v>112</v>
      </c>
      <c r="P394" s="14">
        <v>94.6</v>
      </c>
      <c r="Q394" s="258">
        <v>16.7</v>
      </c>
      <c r="R394" s="48">
        <v>19.899999999999999</v>
      </c>
      <c r="S394" s="48">
        <v>19.2</v>
      </c>
      <c r="T394" s="48">
        <v>17.2</v>
      </c>
      <c r="U394" s="48">
        <v>15.8</v>
      </c>
      <c r="V394" s="48"/>
      <c r="W394" s="57" t="s">
        <v>13</v>
      </c>
      <c r="X394" s="51" t="s">
        <v>12</v>
      </c>
      <c r="Y394" s="92"/>
      <c r="Z394" s="303" t="s">
        <v>1025</v>
      </c>
      <c r="AA394" s="15" t="s">
        <v>1171</v>
      </c>
      <c r="AB394" s="15"/>
      <c r="AC394" s="117" t="s">
        <v>10</v>
      </c>
      <c r="AD39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16.7</v>
      </c>
      <c r="AE39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19.452590420332353</v>
      </c>
      <c r="AF39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18.418379240184301</v>
      </c>
      <c r="AG39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16.2080531132925</v>
      </c>
      <c r="AH394"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14.639914430839768</v>
      </c>
      <c r="AI394"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94" s="10">
        <f t="shared" si="31"/>
        <v>70.779022773809146</v>
      </c>
      <c r="AK394" s="10">
        <f t="shared" si="30"/>
        <v>14.639914430839768</v>
      </c>
      <c r="AL394" s="10">
        <f t="shared" si="32"/>
        <v>68.71893720464891</v>
      </c>
      <c r="AM394" s="6"/>
    </row>
    <row r="395" spans="1:39" ht="31.5" customHeight="1">
      <c r="A395" s="13" t="s">
        <v>210</v>
      </c>
      <c r="B395" s="6" t="s">
        <v>37</v>
      </c>
      <c r="C395" s="6" t="s">
        <v>37</v>
      </c>
      <c r="D395" s="26"/>
      <c r="F395" s="6" t="s">
        <v>806</v>
      </c>
      <c r="G395" s="6" t="s">
        <v>809</v>
      </c>
      <c r="H395" s="64" t="s">
        <v>26</v>
      </c>
      <c r="I395" s="8" t="s">
        <v>7</v>
      </c>
      <c r="J395" s="51" t="s">
        <v>8</v>
      </c>
      <c r="K395" s="109" t="s">
        <v>15</v>
      </c>
      <c r="L395" s="51" t="s">
        <v>1054</v>
      </c>
      <c r="M395" s="55">
        <v>2012</v>
      </c>
      <c r="N395" s="55">
        <v>2019</v>
      </c>
      <c r="O395" s="48">
        <v>75</v>
      </c>
      <c r="P395" s="14">
        <v>75</v>
      </c>
      <c r="Q395" s="258">
        <v>22.5</v>
      </c>
      <c r="R395" s="48">
        <v>5.7</v>
      </c>
      <c r="S395" s="48">
        <v>15.4</v>
      </c>
      <c r="T395" s="48">
        <v>5</v>
      </c>
      <c r="U395" s="48">
        <v>22.6</v>
      </c>
      <c r="V395" s="48"/>
      <c r="W395" s="57" t="s">
        <v>13</v>
      </c>
      <c r="X395" s="51" t="s">
        <v>12</v>
      </c>
      <c r="Y395" s="90"/>
      <c r="Z395" s="303" t="s">
        <v>1026</v>
      </c>
      <c r="AA395" s="15" t="s">
        <v>1171</v>
      </c>
      <c r="AB395" s="6" t="s">
        <v>1246</v>
      </c>
      <c r="AC395" s="117" t="s">
        <v>10</v>
      </c>
      <c r="AD39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22.5</v>
      </c>
      <c r="AE39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5.5718475073313787</v>
      </c>
      <c r="AF39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14.773075015564491</v>
      </c>
      <c r="AG39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4.7116433468873549</v>
      </c>
      <c r="AH395"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20.940637097277136</v>
      </c>
      <c r="AI395"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95" s="10">
        <f t="shared" si="31"/>
        <v>47.556565869783228</v>
      </c>
      <c r="AK395" s="10">
        <f t="shared" si="30"/>
        <v>20.940637097277136</v>
      </c>
      <c r="AL395" s="10">
        <f t="shared" si="32"/>
        <v>45.99720296706036</v>
      </c>
      <c r="AM395" s="6"/>
    </row>
    <row r="396" spans="1:39" ht="31.5" customHeight="1">
      <c r="A396" s="13" t="s">
        <v>210</v>
      </c>
      <c r="B396" s="13" t="s">
        <v>37</v>
      </c>
      <c r="C396" s="6" t="s">
        <v>37</v>
      </c>
      <c r="D396" s="26"/>
      <c r="E396" s="24"/>
      <c r="F396" s="19" t="s">
        <v>798</v>
      </c>
      <c r="G396" s="133" t="s">
        <v>799</v>
      </c>
      <c r="H396" s="64" t="s">
        <v>24</v>
      </c>
      <c r="I396" s="8" t="s">
        <v>7</v>
      </c>
      <c r="J396" s="51" t="s">
        <v>8</v>
      </c>
      <c r="K396" s="109" t="s">
        <v>282</v>
      </c>
      <c r="L396" s="51" t="s">
        <v>1054</v>
      </c>
      <c r="M396" s="55">
        <v>2012</v>
      </c>
      <c r="N396" s="55">
        <v>2015</v>
      </c>
      <c r="O396" s="48">
        <v>753</v>
      </c>
      <c r="P396" s="48">
        <v>284</v>
      </c>
      <c r="Q396" s="258">
        <v>58</v>
      </c>
      <c r="R396" s="48">
        <v>112</v>
      </c>
      <c r="S396" s="48">
        <v>18</v>
      </c>
      <c r="T396" s="48">
        <v>7</v>
      </c>
      <c r="U396" s="48"/>
      <c r="V396" s="48"/>
      <c r="W396" s="57" t="s">
        <v>13</v>
      </c>
      <c r="X396" s="108" t="s">
        <v>12</v>
      </c>
      <c r="Y396" s="88"/>
      <c r="Z396" s="293" t="s">
        <v>800</v>
      </c>
      <c r="AA396" s="15" t="s">
        <v>1171</v>
      </c>
      <c r="AB396" s="19"/>
      <c r="AC396" s="117" t="s">
        <v>10</v>
      </c>
      <c r="AD39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58</v>
      </c>
      <c r="AE39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109.48191593352884</v>
      </c>
      <c r="AF39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17.267230537672781</v>
      </c>
      <c r="AG39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6.596300685642297</v>
      </c>
      <c r="AH396"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396"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96" s="10">
        <f t="shared" si="31"/>
        <v>191.34544715684393</v>
      </c>
      <c r="AK396" s="10">
        <f t="shared" ref="AK396:AK398" si="34">+SUM(AH396:AI396)</f>
        <v>0</v>
      </c>
      <c r="AL396" s="10">
        <f t="shared" si="32"/>
        <v>133.34544715684393</v>
      </c>
      <c r="AM396" s="6"/>
    </row>
    <row r="397" spans="1:39" ht="31.5" customHeight="1">
      <c r="A397" s="13" t="s">
        <v>210</v>
      </c>
      <c r="B397" s="6" t="s">
        <v>37</v>
      </c>
      <c r="C397" s="6" t="s">
        <v>37</v>
      </c>
      <c r="D397" s="26"/>
      <c r="F397" s="6" t="s">
        <v>807</v>
      </c>
      <c r="G397" s="21" t="s">
        <v>810</v>
      </c>
      <c r="H397" s="64" t="s">
        <v>25</v>
      </c>
      <c r="I397" s="1" t="s">
        <v>15</v>
      </c>
      <c r="J397" s="51" t="s">
        <v>8</v>
      </c>
      <c r="K397" s="109" t="s">
        <v>15</v>
      </c>
      <c r="L397" s="51" t="s">
        <v>1054</v>
      </c>
      <c r="M397" s="55">
        <v>2012</v>
      </c>
      <c r="N397" s="55">
        <v>2015</v>
      </c>
      <c r="O397" s="48">
        <v>100</v>
      </c>
      <c r="P397" s="48">
        <v>80</v>
      </c>
      <c r="Q397" s="258">
        <v>23</v>
      </c>
      <c r="R397" s="48">
        <v>23</v>
      </c>
      <c r="S397" s="48">
        <v>34</v>
      </c>
      <c r="T397" s="48"/>
      <c r="U397" s="48"/>
      <c r="V397" s="48"/>
      <c r="W397" s="57" t="s">
        <v>13</v>
      </c>
      <c r="X397" s="51" t="s">
        <v>12</v>
      </c>
      <c r="Y397" s="90"/>
      <c r="Z397" s="303" t="s">
        <v>1027</v>
      </c>
      <c r="AA397" s="15" t="s">
        <v>1171</v>
      </c>
      <c r="AB397" s="15" t="s">
        <v>1247</v>
      </c>
      <c r="AC397" s="117" t="s">
        <v>10</v>
      </c>
      <c r="AD39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23</v>
      </c>
      <c r="AE39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22.482893450635387</v>
      </c>
      <c r="AF39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32.615879904493035</v>
      </c>
      <c r="AG39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397"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397"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97" s="10">
        <f t="shared" si="31"/>
        <v>78.098773355128429</v>
      </c>
      <c r="AK397" s="10">
        <f t="shared" si="34"/>
        <v>0</v>
      </c>
      <c r="AL397" s="10">
        <f t="shared" si="32"/>
        <v>55.098773355128429</v>
      </c>
      <c r="AM397" s="6"/>
    </row>
    <row r="398" spans="1:39" ht="31.5" customHeight="1">
      <c r="A398" s="13" t="s">
        <v>210</v>
      </c>
      <c r="B398" s="6" t="s">
        <v>37</v>
      </c>
      <c r="C398" s="6" t="s">
        <v>37</v>
      </c>
      <c r="D398" s="26"/>
      <c r="F398" s="6" t="s">
        <v>805</v>
      </c>
      <c r="G398" s="6" t="s">
        <v>1056</v>
      </c>
      <c r="H398" s="1" t="s">
        <v>25</v>
      </c>
      <c r="I398" s="1" t="s">
        <v>7</v>
      </c>
      <c r="J398" s="51" t="s">
        <v>8</v>
      </c>
      <c r="K398" s="109" t="s">
        <v>282</v>
      </c>
      <c r="L398" s="51" t="s">
        <v>444</v>
      </c>
      <c r="M398" s="55">
        <v>2014</v>
      </c>
      <c r="N398" s="55">
        <v>2019</v>
      </c>
      <c r="O398" s="48">
        <v>60</v>
      </c>
      <c r="P398" s="14">
        <v>60</v>
      </c>
      <c r="Q398" s="258"/>
      <c r="R398" s="48"/>
      <c r="S398" s="48"/>
      <c r="T398" s="48"/>
      <c r="U398" s="48">
        <v>60</v>
      </c>
      <c r="V398" s="48"/>
      <c r="W398" s="57" t="s">
        <v>13</v>
      </c>
      <c r="X398" s="51" t="s">
        <v>12</v>
      </c>
      <c r="Y398" s="90"/>
      <c r="Z398" s="303" t="s">
        <v>1028</v>
      </c>
      <c r="AA398" s="15" t="s">
        <v>1171</v>
      </c>
      <c r="AB398" s="15" t="s">
        <v>1245</v>
      </c>
      <c r="AC398" s="117" t="s">
        <v>10</v>
      </c>
      <c r="AD39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39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39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39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398"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55.594611762682668</v>
      </c>
      <c r="AI398"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98" s="10">
        <f t="shared" si="31"/>
        <v>0</v>
      </c>
      <c r="AK398" s="10">
        <f t="shared" si="34"/>
        <v>55.594611762682668</v>
      </c>
      <c r="AL398" s="10">
        <f t="shared" si="32"/>
        <v>55.594611762682668</v>
      </c>
      <c r="AM398" s="6"/>
    </row>
    <row r="399" spans="1:39" ht="31.5" customHeight="1">
      <c r="A399" s="40" t="s">
        <v>38</v>
      </c>
      <c r="B399" s="40" t="s">
        <v>193</v>
      </c>
      <c r="C399" s="18" t="s">
        <v>193</v>
      </c>
      <c r="D399" s="41" t="s">
        <v>197</v>
      </c>
      <c r="E399" s="91"/>
      <c r="F399" s="26"/>
      <c r="G399" s="42" t="s">
        <v>1116</v>
      </c>
      <c r="H399" s="64" t="s">
        <v>18</v>
      </c>
      <c r="I399" s="57" t="s">
        <v>7</v>
      </c>
      <c r="J399" s="51" t="s">
        <v>8</v>
      </c>
      <c r="K399" s="111" t="s">
        <v>7</v>
      </c>
      <c r="L399" s="51" t="s">
        <v>1000</v>
      </c>
      <c r="M399" s="56">
        <v>2011</v>
      </c>
      <c r="N399" s="56">
        <v>2014</v>
      </c>
      <c r="O399" s="87">
        <v>65</v>
      </c>
      <c r="P399" s="44" t="s">
        <v>55</v>
      </c>
      <c r="Q399" s="262">
        <v>25.4</v>
      </c>
      <c r="R399" s="87">
        <v>32.5</v>
      </c>
      <c r="S399" s="87">
        <v>2</v>
      </c>
      <c r="T399" s="87"/>
      <c r="U399" s="87"/>
      <c r="V399" s="87"/>
      <c r="W399" s="57" t="s">
        <v>13</v>
      </c>
      <c r="X399" s="111" t="s">
        <v>12</v>
      </c>
      <c r="Y399" s="88" t="s">
        <v>232</v>
      </c>
      <c r="Z399" s="296" t="s">
        <v>891</v>
      </c>
      <c r="AA399" s="43" t="s">
        <v>892</v>
      </c>
      <c r="AB399" s="41" t="s">
        <v>196</v>
      </c>
      <c r="AC399" s="117" t="s">
        <v>10</v>
      </c>
      <c r="AD39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25.4</v>
      </c>
      <c r="AE39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31.76930596285435</v>
      </c>
      <c r="AF39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1.9185811708525313</v>
      </c>
      <c r="AG39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399"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399"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399" s="32">
        <f t="shared" si="31"/>
        <v>59.087887133706886</v>
      </c>
      <c r="AK399" s="32">
        <f t="shared" ref="AK399:AK458" si="35">+SUM(AH399:AI399)</f>
        <v>0</v>
      </c>
      <c r="AL399" s="32">
        <f t="shared" si="32"/>
        <v>33.687887133706887</v>
      </c>
      <c r="AM399" s="6"/>
    </row>
    <row r="400" spans="1:39" ht="31.5" customHeight="1">
      <c r="A400" s="40" t="s">
        <v>38</v>
      </c>
      <c r="B400" s="40" t="s">
        <v>193</v>
      </c>
      <c r="C400" s="18" t="s">
        <v>193</v>
      </c>
      <c r="D400" s="41" t="s">
        <v>195</v>
      </c>
      <c r="E400" s="91"/>
      <c r="F400" s="41"/>
      <c r="G400" s="42" t="s">
        <v>1117</v>
      </c>
      <c r="H400" s="64" t="s">
        <v>16</v>
      </c>
      <c r="I400" s="53" t="s">
        <v>7</v>
      </c>
      <c r="J400" s="51" t="s">
        <v>8</v>
      </c>
      <c r="K400" s="111" t="s">
        <v>7</v>
      </c>
      <c r="L400" s="51" t="s">
        <v>1000</v>
      </c>
      <c r="M400" s="56">
        <v>2011</v>
      </c>
      <c r="N400" s="56">
        <v>2019</v>
      </c>
      <c r="O400" s="87">
        <v>150</v>
      </c>
      <c r="P400" s="44"/>
      <c r="Q400" s="262">
        <v>16.666666666666668</v>
      </c>
      <c r="R400" s="87">
        <v>16.666666666666668</v>
      </c>
      <c r="S400" s="87">
        <v>16.666666666666668</v>
      </c>
      <c r="T400" s="87">
        <v>16.670000000000002</v>
      </c>
      <c r="U400" s="87">
        <v>66.67</v>
      </c>
      <c r="V400" s="104"/>
      <c r="W400" s="57" t="s">
        <v>13</v>
      </c>
      <c r="X400" s="111" t="s">
        <v>12</v>
      </c>
      <c r="Y400" s="88"/>
      <c r="Z400" s="304" t="s">
        <v>1067</v>
      </c>
      <c r="AA400" s="43" t="s">
        <v>194</v>
      </c>
      <c r="AB400" s="41"/>
      <c r="AC400" s="117"/>
      <c r="AD40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16.666666666666668</v>
      </c>
      <c r="AE40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16.291951775822746</v>
      </c>
      <c r="AF40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15.988176423771096</v>
      </c>
      <c r="AG40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15.708618918522443</v>
      </c>
      <c r="AH400"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61.774879436967552</v>
      </c>
      <c r="AI400"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00" s="32">
        <f t="shared" si="31"/>
        <v>64.655413784782951</v>
      </c>
      <c r="AK400" s="32">
        <f t="shared" si="35"/>
        <v>61.774879436967552</v>
      </c>
      <c r="AL400" s="32">
        <f t="shared" si="32"/>
        <v>109.76362655508383</v>
      </c>
      <c r="AM400" s="6"/>
    </row>
    <row r="401" spans="1:39" ht="31.5" customHeight="1">
      <c r="A401" s="40" t="s">
        <v>38</v>
      </c>
      <c r="B401" s="40" t="s">
        <v>193</v>
      </c>
      <c r="C401" s="18" t="s">
        <v>193</v>
      </c>
      <c r="D401" s="41" t="s">
        <v>975</v>
      </c>
      <c r="E401" s="91"/>
      <c r="F401" s="41"/>
      <c r="G401" s="42" t="s">
        <v>208</v>
      </c>
      <c r="H401" s="64" t="s">
        <v>25</v>
      </c>
      <c r="I401" s="53" t="s">
        <v>7</v>
      </c>
      <c r="J401" s="51" t="s">
        <v>10</v>
      </c>
      <c r="K401" s="111" t="s">
        <v>7</v>
      </c>
      <c r="L401" s="51" t="s">
        <v>1000</v>
      </c>
      <c r="M401" s="56">
        <v>2008</v>
      </c>
      <c r="N401" s="56">
        <v>2014</v>
      </c>
      <c r="O401" s="87">
        <v>920</v>
      </c>
      <c r="P401" s="44"/>
      <c r="Q401" s="262">
        <v>90</v>
      </c>
      <c r="R401" s="87">
        <v>213.9</v>
      </c>
      <c r="S401" s="87"/>
      <c r="T401" s="87"/>
      <c r="U401" s="87"/>
      <c r="V401" s="87"/>
      <c r="W401" s="57" t="s">
        <v>13</v>
      </c>
      <c r="X401" s="111" t="s">
        <v>19</v>
      </c>
      <c r="Y401" s="88" t="s">
        <v>189</v>
      </c>
      <c r="Z401" s="305" t="s">
        <v>977</v>
      </c>
      <c r="AA401" s="45" t="s">
        <v>976</v>
      </c>
      <c r="AB401" s="41"/>
      <c r="AC401" s="117" t="s">
        <v>10</v>
      </c>
      <c r="AD40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101.56637927143051</v>
      </c>
      <c r="AE40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241.38942806843318</v>
      </c>
      <c r="AF40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40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401"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401"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01" s="32">
        <f t="shared" si="31"/>
        <v>342.95580733986367</v>
      </c>
      <c r="AK401" s="32">
        <f t="shared" si="35"/>
        <v>0</v>
      </c>
      <c r="AL401" s="32">
        <f t="shared" si="32"/>
        <v>241.38942806843318</v>
      </c>
      <c r="AM401" s="6"/>
    </row>
    <row r="402" spans="1:39" ht="31.5" customHeight="1">
      <c r="A402" s="40" t="s">
        <v>38</v>
      </c>
      <c r="B402" s="40" t="s">
        <v>193</v>
      </c>
      <c r="C402" s="18" t="s">
        <v>193</v>
      </c>
      <c r="D402" s="41" t="s">
        <v>978</v>
      </c>
      <c r="E402" s="91"/>
      <c r="F402" s="41"/>
      <c r="G402" s="42" t="s">
        <v>208</v>
      </c>
      <c r="H402" s="64" t="s">
        <v>25</v>
      </c>
      <c r="I402" s="53" t="s">
        <v>7</v>
      </c>
      <c r="J402" s="51" t="s">
        <v>10</v>
      </c>
      <c r="K402" s="111" t="s">
        <v>7</v>
      </c>
      <c r="L402" s="51" t="s">
        <v>444</v>
      </c>
      <c r="M402" s="56">
        <v>2015</v>
      </c>
      <c r="N402" s="56">
        <v>2019</v>
      </c>
      <c r="O402" s="87">
        <v>920.4</v>
      </c>
      <c r="P402" s="44"/>
      <c r="Q402" s="262"/>
      <c r="R402" s="87"/>
      <c r="S402" s="87">
        <v>167.5</v>
      </c>
      <c r="T402" s="87">
        <v>205.6</v>
      </c>
      <c r="U402" s="87">
        <v>547.4</v>
      </c>
      <c r="V402" s="87"/>
      <c r="W402" s="57" t="s">
        <v>13</v>
      </c>
      <c r="X402" s="111" t="s">
        <v>19</v>
      </c>
      <c r="Y402" s="88" t="s">
        <v>232</v>
      </c>
      <c r="Z402" s="305" t="s">
        <v>977</v>
      </c>
      <c r="AA402" s="45" t="s">
        <v>976</v>
      </c>
      <c r="AB402" s="41"/>
      <c r="AC402" s="117" t="s">
        <v>10</v>
      </c>
      <c r="AD40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40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40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170.46264069528402</v>
      </c>
      <c r="AG40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209.23653090716655</v>
      </c>
      <c r="AH402"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557.08208666625956</v>
      </c>
      <c r="AI402"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02" s="32">
        <f t="shared" si="31"/>
        <v>379.69917160245058</v>
      </c>
      <c r="AK402" s="32">
        <f t="shared" si="35"/>
        <v>557.08208666625956</v>
      </c>
      <c r="AL402" s="32">
        <f t="shared" si="32"/>
        <v>936.78125826871019</v>
      </c>
      <c r="AM402" s="6"/>
    </row>
    <row r="403" spans="1:39" ht="31.5" customHeight="1">
      <c r="A403" s="40" t="s">
        <v>38</v>
      </c>
      <c r="B403" s="40" t="s">
        <v>193</v>
      </c>
      <c r="C403" s="18" t="s">
        <v>193</v>
      </c>
      <c r="D403" s="41" t="s">
        <v>204</v>
      </c>
      <c r="E403" s="91"/>
      <c r="F403" s="41"/>
      <c r="G403" s="42" t="s">
        <v>203</v>
      </c>
      <c r="H403" s="64" t="s">
        <v>17</v>
      </c>
      <c r="I403" s="53" t="s">
        <v>7</v>
      </c>
      <c r="J403" s="51" t="s">
        <v>8</v>
      </c>
      <c r="K403" s="111" t="s">
        <v>7</v>
      </c>
      <c r="L403" s="51" t="s">
        <v>1000</v>
      </c>
      <c r="M403" s="56">
        <v>2011</v>
      </c>
      <c r="N403" s="56" t="s">
        <v>29</v>
      </c>
      <c r="O403" s="87">
        <v>200</v>
      </c>
      <c r="P403" s="29"/>
      <c r="Q403" s="262">
        <v>17</v>
      </c>
      <c r="R403" s="87">
        <v>20</v>
      </c>
      <c r="S403" s="87">
        <v>20</v>
      </c>
      <c r="T403" s="87">
        <v>20</v>
      </c>
      <c r="U403" s="87">
        <v>80</v>
      </c>
      <c r="V403" s="104">
        <v>20</v>
      </c>
      <c r="W403" s="57" t="s">
        <v>13</v>
      </c>
      <c r="X403" s="111" t="s">
        <v>12</v>
      </c>
      <c r="Y403" s="88"/>
      <c r="Z403" s="296" t="s">
        <v>1088</v>
      </c>
      <c r="AA403" s="134" t="s">
        <v>1088</v>
      </c>
      <c r="AB403" s="41" t="s">
        <v>202</v>
      </c>
      <c r="AC403" s="117"/>
      <c r="AD40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17</v>
      </c>
      <c r="AE40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19.550342130987293</v>
      </c>
      <c r="AF40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19.185811708525314</v>
      </c>
      <c r="AG40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18.846573387549419</v>
      </c>
      <c r="AH403"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74.126149016910219</v>
      </c>
      <c r="AI403"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17.170778218435828</v>
      </c>
      <c r="AJ403" s="32">
        <f t="shared" si="31"/>
        <v>74.582727227062023</v>
      </c>
      <c r="AK403" s="32">
        <f t="shared" si="35"/>
        <v>91.296927235346047</v>
      </c>
      <c r="AL403" s="32">
        <f t="shared" si="32"/>
        <v>148.87965446240807</v>
      </c>
      <c r="AM403" s="6"/>
    </row>
    <row r="404" spans="1:39" ht="31.5" customHeight="1">
      <c r="A404" s="40" t="s">
        <v>38</v>
      </c>
      <c r="B404" s="40" t="s">
        <v>193</v>
      </c>
      <c r="C404" s="18" t="s">
        <v>193</v>
      </c>
      <c r="D404" s="41" t="s">
        <v>979</v>
      </c>
      <c r="E404" s="91"/>
      <c r="F404" s="41"/>
      <c r="G404" s="42" t="s">
        <v>209</v>
      </c>
      <c r="H404" s="64" t="s">
        <v>25</v>
      </c>
      <c r="I404" s="53" t="s">
        <v>7</v>
      </c>
      <c r="J404" s="51" t="s">
        <v>10</v>
      </c>
      <c r="K404" s="111" t="s">
        <v>7</v>
      </c>
      <c r="L404" s="51" t="s">
        <v>1000</v>
      </c>
      <c r="M404" s="56">
        <v>2008</v>
      </c>
      <c r="N404" s="56">
        <v>2014</v>
      </c>
      <c r="O404" s="87">
        <v>5521</v>
      </c>
      <c r="P404" s="29"/>
      <c r="Q404" s="262">
        <v>580</v>
      </c>
      <c r="R404" s="87">
        <v>735</v>
      </c>
      <c r="S404" s="87"/>
      <c r="T404" s="87"/>
      <c r="U404" s="87"/>
      <c r="V404" s="87"/>
      <c r="W404" s="57" t="s">
        <v>13</v>
      </c>
      <c r="X404" s="111" t="s">
        <v>19</v>
      </c>
      <c r="Y404" s="111" t="s">
        <v>189</v>
      </c>
      <c r="Z404" s="305" t="s">
        <v>1069</v>
      </c>
      <c r="AA404" s="45" t="s">
        <v>1068</v>
      </c>
      <c r="AB404" s="41"/>
      <c r="AC404" s="117" t="s">
        <v>10</v>
      </c>
      <c r="AD40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654.53888863810778</v>
      </c>
      <c r="AE40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829.45876405001582</v>
      </c>
      <c r="AF40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40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404"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404"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04" s="32">
        <f t="shared" si="31"/>
        <v>1483.9976526881237</v>
      </c>
      <c r="AK404" s="32">
        <f t="shared" si="35"/>
        <v>0</v>
      </c>
      <c r="AL404" s="32">
        <f t="shared" si="32"/>
        <v>829.45876405001593</v>
      </c>
      <c r="AM404" s="6"/>
    </row>
    <row r="405" spans="1:39" ht="31.5" customHeight="1">
      <c r="A405" s="40" t="s">
        <v>38</v>
      </c>
      <c r="B405" s="40" t="s">
        <v>193</v>
      </c>
      <c r="C405" s="18" t="s">
        <v>193</v>
      </c>
      <c r="D405" s="41" t="s">
        <v>980</v>
      </c>
      <c r="E405" s="91"/>
      <c r="F405" s="41"/>
      <c r="G405" s="42" t="s">
        <v>209</v>
      </c>
      <c r="H405" s="64" t="s">
        <v>25</v>
      </c>
      <c r="I405" s="53" t="s">
        <v>7</v>
      </c>
      <c r="J405" s="51" t="s">
        <v>10</v>
      </c>
      <c r="K405" s="111" t="s">
        <v>7</v>
      </c>
      <c r="L405" s="51" t="s">
        <v>444</v>
      </c>
      <c r="M405" s="56">
        <v>2014</v>
      </c>
      <c r="N405" s="56">
        <v>2019</v>
      </c>
      <c r="O405" s="87">
        <v>3013</v>
      </c>
      <c r="P405" s="29"/>
      <c r="Q405" s="262"/>
      <c r="R405" s="87"/>
      <c r="S405" s="87">
        <v>602</v>
      </c>
      <c r="T405" s="87">
        <v>699</v>
      </c>
      <c r="U405" s="87">
        <v>1712</v>
      </c>
      <c r="V405" s="87"/>
      <c r="W405" s="57" t="s">
        <v>13</v>
      </c>
      <c r="X405" s="120" t="s">
        <v>19</v>
      </c>
      <c r="Y405" s="111" t="s">
        <v>232</v>
      </c>
      <c r="Z405" s="305" t="s">
        <v>1069</v>
      </c>
      <c r="AA405" s="45" t="s">
        <v>1068</v>
      </c>
      <c r="AB405" s="41"/>
      <c r="AC405" s="117" t="s">
        <v>10</v>
      </c>
      <c r="AD40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40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40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612.64781909588646</v>
      </c>
      <c r="AG40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711.3634975880808</v>
      </c>
      <c r="AH405"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1742.2808410168732</v>
      </c>
      <c r="AI405"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05" s="32">
        <f t="shared" si="31"/>
        <v>1324.0113166839674</v>
      </c>
      <c r="AK405" s="32">
        <f t="shared" si="35"/>
        <v>1742.2808410168732</v>
      </c>
      <c r="AL405" s="32">
        <f t="shared" si="32"/>
        <v>3066.2921577008406</v>
      </c>
      <c r="AM405" s="6"/>
    </row>
    <row r="406" spans="1:39" ht="31.5" customHeight="1">
      <c r="A406" s="40" t="s">
        <v>38</v>
      </c>
      <c r="B406" s="40" t="s">
        <v>193</v>
      </c>
      <c r="C406" s="18" t="s">
        <v>193</v>
      </c>
      <c r="D406" s="41" t="s">
        <v>201</v>
      </c>
      <c r="E406" s="91"/>
      <c r="F406" s="26"/>
      <c r="G406" s="42" t="s">
        <v>200</v>
      </c>
      <c r="H406" s="64" t="s">
        <v>25</v>
      </c>
      <c r="I406" s="53" t="s">
        <v>7</v>
      </c>
      <c r="J406" s="51" t="s">
        <v>8</v>
      </c>
      <c r="K406" s="111" t="s">
        <v>7</v>
      </c>
      <c r="L406" s="51" t="s">
        <v>444</v>
      </c>
      <c r="M406" s="56">
        <v>2014</v>
      </c>
      <c r="N406" s="101" t="s">
        <v>27</v>
      </c>
      <c r="O406" s="87">
        <v>25</v>
      </c>
      <c r="P406" s="29"/>
      <c r="Q406" s="262"/>
      <c r="R406" s="148">
        <v>12.5</v>
      </c>
      <c r="S406" s="87">
        <v>12.5</v>
      </c>
      <c r="T406" s="87"/>
      <c r="U406" s="87"/>
      <c r="V406" s="87"/>
      <c r="W406" s="57" t="s">
        <v>13</v>
      </c>
      <c r="X406" s="111" t="s">
        <v>12</v>
      </c>
      <c r="Y406" s="88"/>
      <c r="Z406" s="296" t="s">
        <v>1089</v>
      </c>
      <c r="AA406" s="43" t="s">
        <v>199</v>
      </c>
      <c r="AB406" s="41" t="s">
        <v>198</v>
      </c>
      <c r="AC406" s="117"/>
      <c r="AD40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40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12.218963831867057</v>
      </c>
      <c r="AF40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11.99113231782832</v>
      </c>
      <c r="AG40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406"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406"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06" s="32">
        <f t="shared" si="31"/>
        <v>24.210096149695378</v>
      </c>
      <c r="AK406" s="32">
        <f t="shared" si="35"/>
        <v>0</v>
      </c>
      <c r="AL406" s="32">
        <f t="shared" si="32"/>
        <v>24.210096149695378</v>
      </c>
      <c r="AM406" s="6"/>
    </row>
    <row r="407" spans="1:39" ht="31.5" customHeight="1">
      <c r="A407" s="40" t="s">
        <v>38</v>
      </c>
      <c r="B407" s="40" t="s">
        <v>193</v>
      </c>
      <c r="C407" s="18" t="s">
        <v>193</v>
      </c>
      <c r="D407" s="41" t="s">
        <v>207</v>
      </c>
      <c r="E407" s="91"/>
      <c r="F407" s="41"/>
      <c r="G407" s="42" t="s">
        <v>206</v>
      </c>
      <c r="H407" s="64" t="s">
        <v>26</v>
      </c>
      <c r="I407" s="53" t="s">
        <v>7</v>
      </c>
      <c r="J407" s="51" t="s">
        <v>10</v>
      </c>
      <c r="K407" s="111" t="s">
        <v>7</v>
      </c>
      <c r="L407" s="51" t="s">
        <v>1000</v>
      </c>
      <c r="M407" s="56">
        <v>2011</v>
      </c>
      <c r="N407" s="56">
        <v>2014</v>
      </c>
      <c r="O407" s="87">
        <v>127</v>
      </c>
      <c r="P407" s="29"/>
      <c r="Q407" s="262">
        <v>20</v>
      </c>
      <c r="R407" s="87">
        <v>19</v>
      </c>
      <c r="S407" s="87"/>
      <c r="T407" s="87"/>
      <c r="U407" s="87"/>
      <c r="V407" s="87"/>
      <c r="W407" s="57" t="s">
        <v>13</v>
      </c>
      <c r="X407" s="111" t="s">
        <v>19</v>
      </c>
      <c r="Y407" s="111" t="s">
        <v>189</v>
      </c>
      <c r="Z407" s="305" t="s">
        <v>1070</v>
      </c>
      <c r="AA407" s="45" t="s">
        <v>205</v>
      </c>
      <c r="AB407" s="41"/>
      <c r="AC407" s="117"/>
      <c r="AD40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22.570306504762335</v>
      </c>
      <c r="AE40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21.44179117952422</v>
      </c>
      <c r="AF40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40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407"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407"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07" s="32">
        <f t="shared" si="31"/>
        <v>44.012097684286559</v>
      </c>
      <c r="AK407" s="32">
        <f t="shared" si="35"/>
        <v>0</v>
      </c>
      <c r="AL407" s="32">
        <f t="shared" si="32"/>
        <v>21.441791179524223</v>
      </c>
      <c r="AM407" s="6"/>
    </row>
    <row r="408" spans="1:39" ht="31.5" customHeight="1">
      <c r="A408" s="40" t="s">
        <v>38</v>
      </c>
      <c r="B408" s="40" t="s">
        <v>193</v>
      </c>
      <c r="C408" s="42" t="s">
        <v>192</v>
      </c>
      <c r="D408" s="41" t="s">
        <v>192</v>
      </c>
      <c r="E408" s="91"/>
      <c r="F408" s="41"/>
      <c r="G408" s="42" t="s">
        <v>191</v>
      </c>
      <c r="H408" s="64" t="s">
        <v>6</v>
      </c>
      <c r="I408" s="53" t="s">
        <v>7</v>
      </c>
      <c r="J408" s="51" t="s">
        <v>10</v>
      </c>
      <c r="K408" s="111" t="s">
        <v>7</v>
      </c>
      <c r="L408" s="51" t="s">
        <v>1000</v>
      </c>
      <c r="M408" s="56">
        <v>2011</v>
      </c>
      <c r="N408" s="56">
        <v>2020</v>
      </c>
      <c r="O408" s="87">
        <v>1587</v>
      </c>
      <c r="P408" s="29"/>
      <c r="Q408" s="262">
        <v>136</v>
      </c>
      <c r="R408" s="87">
        <v>130</v>
      </c>
      <c r="S408" s="87">
        <v>112</v>
      </c>
      <c r="T408" s="87">
        <v>92</v>
      </c>
      <c r="U408" s="87">
        <v>550</v>
      </c>
      <c r="V408" s="104">
        <v>149</v>
      </c>
      <c r="W408" s="57" t="s">
        <v>13</v>
      </c>
      <c r="X408" s="111" t="s">
        <v>12</v>
      </c>
      <c r="Y408" s="89" t="s">
        <v>250</v>
      </c>
      <c r="Z408" s="296" t="s">
        <v>1071</v>
      </c>
      <c r="AA408" s="43" t="s">
        <v>1273</v>
      </c>
      <c r="AB408" s="41" t="s">
        <v>190</v>
      </c>
      <c r="AC408" s="117"/>
      <c r="AD40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136</v>
      </c>
      <c r="AE40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127.0772238514174</v>
      </c>
      <c r="AF40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107.44054556774175</v>
      </c>
      <c r="AG40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86.694237582727339</v>
      </c>
      <c r="AH408"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509.61727449125777</v>
      </c>
      <c r="AI408"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127.92229772734692</v>
      </c>
      <c r="AJ408" s="32">
        <f t="shared" si="31"/>
        <v>457.21200700188649</v>
      </c>
      <c r="AK408" s="32">
        <f t="shared" si="35"/>
        <v>637.53957221860469</v>
      </c>
      <c r="AL408" s="32">
        <f t="shared" si="32"/>
        <v>958.75157922049129</v>
      </c>
      <c r="AM408" s="6"/>
    </row>
    <row r="409" spans="1:39" ht="31.5" customHeight="1">
      <c r="A409" s="46" t="s">
        <v>38</v>
      </c>
      <c r="B409" s="46" t="s">
        <v>170</v>
      </c>
      <c r="C409" s="18" t="s">
        <v>170</v>
      </c>
      <c r="D409" s="26"/>
      <c r="E409" s="91"/>
      <c r="F409" s="47" t="s">
        <v>170</v>
      </c>
      <c r="G409" s="41" t="s">
        <v>1007</v>
      </c>
      <c r="H409" s="64" t="s">
        <v>24</v>
      </c>
      <c r="I409" s="53" t="s">
        <v>282</v>
      </c>
      <c r="J409" s="51" t="s">
        <v>8</v>
      </c>
      <c r="K409" s="109" t="s">
        <v>282</v>
      </c>
      <c r="L409" s="51" t="s">
        <v>1054</v>
      </c>
      <c r="M409" s="55">
        <v>2009</v>
      </c>
      <c r="N409" s="55">
        <v>2018</v>
      </c>
      <c r="O409" s="87">
        <v>14500</v>
      </c>
      <c r="P409" s="44"/>
      <c r="Q409" s="262">
        <v>1470</v>
      </c>
      <c r="R409" s="87">
        <v>1932</v>
      </c>
      <c r="S409" s="87">
        <v>2167</v>
      </c>
      <c r="T409" s="87">
        <v>2127</v>
      </c>
      <c r="U409" s="87">
        <v>3760</v>
      </c>
      <c r="V409" s="104">
        <v>2</v>
      </c>
      <c r="W409" s="57" t="s">
        <v>13</v>
      </c>
      <c r="X409" s="111" t="s">
        <v>12</v>
      </c>
      <c r="Y409" s="88"/>
      <c r="Z409" s="296" t="s">
        <v>1091</v>
      </c>
      <c r="AA409" s="43" t="s">
        <v>1092</v>
      </c>
      <c r="AB409" s="41" t="s">
        <v>1093</v>
      </c>
      <c r="AC409" s="117" t="s">
        <v>10</v>
      </c>
      <c r="AD40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1470</v>
      </c>
      <c r="AE40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1888.5630498533724</v>
      </c>
      <c r="AF40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2078.7826986187179</v>
      </c>
      <c r="AG40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2004.3330797658809</v>
      </c>
      <c r="AH409"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3483.9290037947803</v>
      </c>
      <c r="AI409"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1.7170778218435827</v>
      </c>
      <c r="AJ409" s="10">
        <f t="shared" si="31"/>
        <v>7441.6788282379712</v>
      </c>
      <c r="AK409" s="10">
        <f t="shared" si="35"/>
        <v>3485.6460816166241</v>
      </c>
      <c r="AL409" s="10">
        <f t="shared" si="32"/>
        <v>9457.3249098545948</v>
      </c>
      <c r="AM409" s="6"/>
    </row>
    <row r="410" spans="1:39" ht="31.5" customHeight="1">
      <c r="A410" s="40" t="s">
        <v>38</v>
      </c>
      <c r="B410" s="18" t="s">
        <v>171</v>
      </c>
      <c r="C410" s="18" t="s">
        <v>171</v>
      </c>
      <c r="D410" s="26"/>
      <c r="E410" s="91"/>
      <c r="F410" s="41" t="s">
        <v>172</v>
      </c>
      <c r="G410" s="41" t="s">
        <v>173</v>
      </c>
      <c r="H410" s="64" t="s">
        <v>39</v>
      </c>
      <c r="I410" s="53" t="s">
        <v>15</v>
      </c>
      <c r="J410" s="51" t="s">
        <v>8</v>
      </c>
      <c r="K410" s="109" t="s">
        <v>15</v>
      </c>
      <c r="L410" s="51" t="s">
        <v>444</v>
      </c>
      <c r="M410" s="55">
        <v>2017</v>
      </c>
      <c r="N410" s="55">
        <v>2026</v>
      </c>
      <c r="O410" s="87">
        <f>21374+21183</f>
        <v>42557</v>
      </c>
      <c r="P410" s="44"/>
      <c r="Q410" s="262">
        <v>31.2</v>
      </c>
      <c r="R410" s="87">
        <v>118</v>
      </c>
      <c r="S410" s="87">
        <v>154</v>
      </c>
      <c r="T410" s="87">
        <v>832</v>
      </c>
      <c r="U410" s="87">
        <f>1729+1693+3300+4000</f>
        <v>10722</v>
      </c>
      <c r="V410" s="104">
        <v>4498</v>
      </c>
      <c r="W410" s="57" t="s">
        <v>13</v>
      </c>
      <c r="X410" s="111" t="s">
        <v>19</v>
      </c>
      <c r="Y410" s="90" t="s">
        <v>232</v>
      </c>
      <c r="Z410" s="304" t="s">
        <v>1090</v>
      </c>
      <c r="AA410" s="128" t="s">
        <v>277</v>
      </c>
      <c r="AB410" s="41" t="s">
        <v>1243</v>
      </c>
      <c r="AC410" s="117" t="s">
        <v>10</v>
      </c>
      <c r="AD41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31.751847102643953</v>
      </c>
      <c r="AE41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120.08711404205084</v>
      </c>
      <c r="AF41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156.7238606989477</v>
      </c>
      <c r="AG41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846.71592273717204</v>
      </c>
      <c r="AH410"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10911.644379312451</v>
      </c>
      <c r="AI410"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4577.5579572978368</v>
      </c>
      <c r="AJ410" s="10">
        <f t="shared" si="31"/>
        <v>1155.2787445808144</v>
      </c>
      <c r="AK410" s="10">
        <f t="shared" si="35"/>
        <v>15489.202336610288</v>
      </c>
      <c r="AL410" s="10">
        <f t="shared" si="32"/>
        <v>16612.729234088456</v>
      </c>
      <c r="AM410" s="6"/>
    </row>
    <row r="411" spans="1:39" ht="31.5" customHeight="1">
      <c r="A411" s="40" t="s">
        <v>38</v>
      </c>
      <c r="B411" s="18" t="s">
        <v>171</v>
      </c>
      <c r="C411" s="18" t="s">
        <v>171</v>
      </c>
      <c r="D411" s="26"/>
      <c r="E411" s="91"/>
      <c r="F411" s="41" t="s">
        <v>174</v>
      </c>
      <c r="G411" s="5" t="s">
        <v>175</v>
      </c>
      <c r="H411" s="64" t="s">
        <v>21</v>
      </c>
      <c r="I411" s="53" t="s">
        <v>15</v>
      </c>
      <c r="J411" s="51" t="s">
        <v>8</v>
      </c>
      <c r="K411" s="109" t="s">
        <v>15</v>
      </c>
      <c r="L411" s="51" t="s">
        <v>444</v>
      </c>
      <c r="M411" s="55">
        <v>2022</v>
      </c>
      <c r="N411" s="55">
        <v>2032</v>
      </c>
      <c r="O411" s="87" t="s">
        <v>1231</v>
      </c>
      <c r="P411" s="44"/>
      <c r="Q411" s="262"/>
      <c r="R411" s="87"/>
      <c r="S411" s="87"/>
      <c r="T411" s="87"/>
      <c r="U411" s="87"/>
      <c r="V411" s="104"/>
      <c r="W411" s="57" t="s">
        <v>13</v>
      </c>
      <c r="X411" s="111" t="s">
        <v>19</v>
      </c>
      <c r="Y411" s="90" t="s">
        <v>232</v>
      </c>
      <c r="Z411" s="306"/>
      <c r="AA411" s="128" t="s">
        <v>277</v>
      </c>
      <c r="AB411" s="41"/>
      <c r="AC411" s="117" t="s">
        <v>10</v>
      </c>
      <c r="AD41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41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41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41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411"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411"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11" s="10">
        <f t="shared" si="31"/>
        <v>0</v>
      </c>
      <c r="AK411" s="10">
        <f t="shared" si="35"/>
        <v>0</v>
      </c>
      <c r="AL411" s="10">
        <f t="shared" si="32"/>
        <v>0</v>
      </c>
      <c r="AM411" s="6"/>
    </row>
    <row r="412" spans="1:39" ht="31.5" customHeight="1">
      <c r="A412" s="40" t="s">
        <v>38</v>
      </c>
      <c r="B412" s="18" t="s">
        <v>171</v>
      </c>
      <c r="C412" s="18" t="s">
        <v>171</v>
      </c>
      <c r="D412" s="26"/>
      <c r="E412" s="91"/>
      <c r="F412" s="41" t="s">
        <v>952</v>
      </c>
      <c r="G412" s="5" t="s">
        <v>175</v>
      </c>
      <c r="H412" s="64" t="s">
        <v>39</v>
      </c>
      <c r="I412" s="53" t="s">
        <v>15</v>
      </c>
      <c r="J412" s="51" t="s">
        <v>8</v>
      </c>
      <c r="K412" s="109" t="s">
        <v>15</v>
      </c>
      <c r="L412" s="51" t="s">
        <v>444</v>
      </c>
      <c r="M412" s="55" t="s">
        <v>27</v>
      </c>
      <c r="N412" s="101" t="s">
        <v>27</v>
      </c>
      <c r="O412" s="87">
        <v>7500</v>
      </c>
      <c r="P412" s="44"/>
      <c r="Q412" s="262"/>
      <c r="R412" s="87"/>
      <c r="S412" s="87"/>
      <c r="T412" s="87"/>
      <c r="U412" s="87"/>
      <c r="V412" s="104">
        <v>7500</v>
      </c>
      <c r="W412" s="57" t="s">
        <v>13</v>
      </c>
      <c r="X412" s="111" t="s">
        <v>19</v>
      </c>
      <c r="Y412" s="90" t="s">
        <v>232</v>
      </c>
      <c r="Z412" s="304" t="s">
        <v>1090</v>
      </c>
      <c r="AA412" s="128" t="s">
        <v>277</v>
      </c>
      <c r="AB412" s="41"/>
      <c r="AC412" s="117" t="s">
        <v>10</v>
      </c>
      <c r="AD41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41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41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41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412"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412"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7632.6555535201805</v>
      </c>
      <c r="AJ412" s="32">
        <f t="shared" si="31"/>
        <v>0</v>
      </c>
      <c r="AK412" s="32">
        <f t="shared" si="35"/>
        <v>7632.6555535201805</v>
      </c>
      <c r="AL412" s="32">
        <f t="shared" si="32"/>
        <v>7632.6555535201805</v>
      </c>
      <c r="AM412" s="6"/>
    </row>
    <row r="413" spans="1:39" ht="31.5" customHeight="1">
      <c r="A413" s="40" t="s">
        <v>38</v>
      </c>
      <c r="B413" s="40" t="s">
        <v>24</v>
      </c>
      <c r="C413" s="26" t="s">
        <v>970</v>
      </c>
      <c r="D413" s="26"/>
      <c r="E413" s="27"/>
      <c r="F413" s="26" t="s">
        <v>971</v>
      </c>
      <c r="G413" s="28"/>
      <c r="H413" s="64" t="s">
        <v>24</v>
      </c>
      <c r="I413" s="66" t="s">
        <v>15</v>
      </c>
      <c r="J413" s="51" t="s">
        <v>8</v>
      </c>
      <c r="K413" s="112" t="s">
        <v>282</v>
      </c>
      <c r="L413" s="51" t="s">
        <v>1054</v>
      </c>
      <c r="M413" s="86">
        <v>2013</v>
      </c>
      <c r="N413" s="86">
        <v>2019</v>
      </c>
      <c r="O413" s="104">
        <v>57</v>
      </c>
      <c r="P413" s="29"/>
      <c r="Q413" s="251"/>
      <c r="R413" s="104">
        <v>2</v>
      </c>
      <c r="S413" s="104"/>
      <c r="T413" s="104"/>
      <c r="U413" s="104">
        <v>24</v>
      </c>
      <c r="V413" s="104">
        <v>31</v>
      </c>
      <c r="W413" s="57" t="s">
        <v>13</v>
      </c>
      <c r="X413" s="120" t="s">
        <v>12</v>
      </c>
      <c r="Y413" s="88" t="s">
        <v>249</v>
      </c>
      <c r="Z413" s="306" t="s">
        <v>1072</v>
      </c>
      <c r="AA413" s="243" t="s">
        <v>1312</v>
      </c>
      <c r="AB413" s="26"/>
      <c r="AC413" s="117"/>
      <c r="AD41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41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1.9550342130987293</v>
      </c>
      <c r="AF41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41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413"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22.237844705073066</v>
      </c>
      <c r="AI413"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26.614706238575533</v>
      </c>
      <c r="AJ413" s="32">
        <f t="shared" si="31"/>
        <v>1.9550342130987293</v>
      </c>
      <c r="AK413" s="32">
        <f t="shared" si="35"/>
        <v>48.852550943648595</v>
      </c>
      <c r="AL413" s="32">
        <f t="shared" si="32"/>
        <v>50.807585156747322</v>
      </c>
      <c r="AM413" s="6"/>
    </row>
    <row r="414" spans="1:39" ht="31.5" customHeight="1">
      <c r="A414" s="40" t="s">
        <v>38</v>
      </c>
      <c r="B414" s="40" t="s">
        <v>24</v>
      </c>
      <c r="C414" s="18" t="s">
        <v>1197</v>
      </c>
      <c r="D414" s="26" t="s">
        <v>974</v>
      </c>
      <c r="E414" s="27"/>
      <c r="F414" s="26"/>
      <c r="G414" s="28"/>
      <c r="H414" s="64" t="s">
        <v>24</v>
      </c>
      <c r="I414" s="66" t="s">
        <v>15</v>
      </c>
      <c r="J414" s="51" t="s">
        <v>8</v>
      </c>
      <c r="K414" s="112" t="s">
        <v>282</v>
      </c>
      <c r="L414" s="51" t="s">
        <v>1000</v>
      </c>
      <c r="M414" s="101" t="s">
        <v>27</v>
      </c>
      <c r="N414" s="75">
        <v>2020</v>
      </c>
      <c r="O414" s="104">
        <v>1234</v>
      </c>
      <c r="P414" s="29"/>
      <c r="Q414" s="251">
        <v>190</v>
      </c>
      <c r="R414" s="104">
        <v>25</v>
      </c>
      <c r="S414" s="104">
        <v>-88</v>
      </c>
      <c r="T414" s="104">
        <v>146</v>
      </c>
      <c r="U414" s="104">
        <v>892</v>
      </c>
      <c r="V414" s="104">
        <v>69</v>
      </c>
      <c r="W414" s="57" t="s">
        <v>13</v>
      </c>
      <c r="X414" s="120" t="s">
        <v>12</v>
      </c>
      <c r="Y414" s="88" t="s">
        <v>249</v>
      </c>
      <c r="Z414" s="306" t="s">
        <v>1072</v>
      </c>
      <c r="AA414" s="243" t="s">
        <v>1312</v>
      </c>
      <c r="AB414" s="26"/>
      <c r="AC414" s="117"/>
      <c r="AD41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190</v>
      </c>
      <c r="AE41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24.437927663734115</v>
      </c>
      <c r="AF41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-84.417571517511377</v>
      </c>
      <c r="AG41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137.57998572911077</v>
      </c>
      <c r="AH414"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826.50656153854891</v>
      </c>
      <c r="AI414"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59.239184853603604</v>
      </c>
      <c r="AJ414" s="10">
        <f t="shared" si="31"/>
        <v>267.60034187533353</v>
      </c>
      <c r="AK414" s="10">
        <f t="shared" si="35"/>
        <v>885.74574639215257</v>
      </c>
      <c r="AL414" s="10">
        <f t="shared" si="32"/>
        <v>963.34608826748604</v>
      </c>
      <c r="AM414" s="6"/>
    </row>
    <row r="415" spans="1:39" ht="31.5" customHeight="1">
      <c r="A415" s="40" t="s">
        <v>38</v>
      </c>
      <c r="B415" s="40" t="s">
        <v>24</v>
      </c>
      <c r="C415" s="26" t="s">
        <v>968</v>
      </c>
      <c r="D415" s="26"/>
      <c r="E415" s="27"/>
      <c r="F415" s="26" t="s">
        <v>969</v>
      </c>
      <c r="G415" s="28"/>
      <c r="H415" s="64" t="s">
        <v>24</v>
      </c>
      <c r="I415" s="66" t="s">
        <v>15</v>
      </c>
      <c r="J415" s="51" t="s">
        <v>8</v>
      </c>
      <c r="K415" s="112" t="s">
        <v>282</v>
      </c>
      <c r="L415" s="51" t="s">
        <v>1054</v>
      </c>
      <c r="M415" s="86">
        <v>2010</v>
      </c>
      <c r="N415" s="86">
        <v>2016</v>
      </c>
      <c r="O415" s="104">
        <v>180</v>
      </c>
      <c r="P415" s="29"/>
      <c r="Q415" s="251">
        <v>4</v>
      </c>
      <c r="R415" s="104">
        <v>74</v>
      </c>
      <c r="S415" s="104">
        <v>84</v>
      </c>
      <c r="T415" s="104">
        <v>18</v>
      </c>
      <c r="U415" s="104"/>
      <c r="V415" s="104"/>
      <c r="W415" s="57" t="s">
        <v>13</v>
      </c>
      <c r="X415" s="120" t="s">
        <v>12</v>
      </c>
      <c r="Y415" s="88" t="s">
        <v>249</v>
      </c>
      <c r="Z415" s="306" t="s">
        <v>1072</v>
      </c>
      <c r="AA415" s="243" t="s">
        <v>1312</v>
      </c>
      <c r="AB415" s="26"/>
      <c r="AC415" s="117"/>
      <c r="AD41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4</v>
      </c>
      <c r="AE41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72.336265884652988</v>
      </c>
      <c r="AF41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80.580409175806309</v>
      </c>
      <c r="AG41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16.961916048794478</v>
      </c>
      <c r="AH415"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415"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15" s="10">
        <f t="shared" si="31"/>
        <v>173.87859110925376</v>
      </c>
      <c r="AK415" s="10">
        <f t="shared" si="35"/>
        <v>0</v>
      </c>
      <c r="AL415" s="10">
        <f t="shared" si="32"/>
        <v>169.87859110925376</v>
      </c>
      <c r="AM415" s="6"/>
    </row>
    <row r="416" spans="1:39" ht="31.5" customHeight="1">
      <c r="A416" s="40" t="s">
        <v>38</v>
      </c>
      <c r="B416" s="40" t="s">
        <v>24</v>
      </c>
      <c r="C416" s="26" t="s">
        <v>972</v>
      </c>
      <c r="D416" s="26"/>
      <c r="E416" s="27"/>
      <c r="F416" s="26" t="s">
        <v>1104</v>
      </c>
      <c r="G416" s="28"/>
      <c r="H416" s="64" t="s">
        <v>24</v>
      </c>
      <c r="I416" s="66" t="s">
        <v>15</v>
      </c>
      <c r="J416" s="51" t="s">
        <v>8</v>
      </c>
      <c r="K416" s="112" t="s">
        <v>282</v>
      </c>
      <c r="L416" s="51" t="s">
        <v>444</v>
      </c>
      <c r="M416" s="86" t="s">
        <v>27</v>
      </c>
      <c r="N416" s="86" t="s">
        <v>27</v>
      </c>
      <c r="O416" s="104">
        <v>572</v>
      </c>
      <c r="P416" s="29"/>
      <c r="Q416" s="251"/>
      <c r="R416" s="104"/>
      <c r="S416" s="104"/>
      <c r="T416" s="104"/>
      <c r="U416" s="104">
        <v>521</v>
      </c>
      <c r="V416" s="104">
        <v>51</v>
      </c>
      <c r="W416" s="57" t="s">
        <v>13</v>
      </c>
      <c r="X416" s="120" t="s">
        <v>12</v>
      </c>
      <c r="Y416" s="88" t="s">
        <v>249</v>
      </c>
      <c r="Z416" s="306" t="s">
        <v>1072</v>
      </c>
      <c r="AA416" s="243" t="s">
        <v>1312</v>
      </c>
      <c r="AB416" s="26" t="s">
        <v>1105</v>
      </c>
      <c r="AC416" s="117"/>
      <c r="AD41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41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41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41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416"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482.74654547262782</v>
      </c>
      <c r="AI416"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43.785484457011357</v>
      </c>
      <c r="AJ416" s="10">
        <f t="shared" si="31"/>
        <v>0</v>
      </c>
      <c r="AK416" s="10">
        <f t="shared" si="35"/>
        <v>526.53202992963918</v>
      </c>
      <c r="AL416" s="10">
        <f t="shared" si="32"/>
        <v>526.53202992963918</v>
      </c>
      <c r="AM416" s="6"/>
    </row>
    <row r="417" spans="1:39" ht="31.5" customHeight="1">
      <c r="A417" s="40" t="s">
        <v>38</v>
      </c>
      <c r="B417" s="40" t="s">
        <v>24</v>
      </c>
      <c r="C417" s="26" t="s">
        <v>972</v>
      </c>
      <c r="D417" s="26"/>
      <c r="E417" s="27"/>
      <c r="F417" s="26" t="s">
        <v>973</v>
      </c>
      <c r="G417" s="28"/>
      <c r="H417" s="64" t="s">
        <v>24</v>
      </c>
      <c r="I417" s="66" t="s">
        <v>15</v>
      </c>
      <c r="J417" s="51" t="s">
        <v>8</v>
      </c>
      <c r="K417" s="112" t="s">
        <v>282</v>
      </c>
      <c r="L417" s="51" t="s">
        <v>444</v>
      </c>
      <c r="M417" s="86" t="s">
        <v>27</v>
      </c>
      <c r="N417" s="86" t="s">
        <v>27</v>
      </c>
      <c r="O417" s="104">
        <v>143</v>
      </c>
      <c r="P417" s="29"/>
      <c r="Q417" s="251"/>
      <c r="R417" s="104"/>
      <c r="S417" s="104"/>
      <c r="T417" s="104">
        <v>18</v>
      </c>
      <c r="U417" s="104">
        <v>125</v>
      </c>
      <c r="V417" s="104"/>
      <c r="W417" s="57" t="s">
        <v>13</v>
      </c>
      <c r="X417" s="120" t="s">
        <v>12</v>
      </c>
      <c r="Y417" s="88" t="s">
        <v>249</v>
      </c>
      <c r="Z417" s="306" t="s">
        <v>1072</v>
      </c>
      <c r="AA417" s="243" t="s">
        <v>1312</v>
      </c>
      <c r="AB417" s="26" t="s">
        <v>1107</v>
      </c>
      <c r="AC417" s="117"/>
      <c r="AD41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41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41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41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16.961916048794478</v>
      </c>
      <c r="AH417"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115.82210783892222</v>
      </c>
      <c r="AI417"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17" s="10">
        <f t="shared" si="31"/>
        <v>16.961916048794478</v>
      </c>
      <c r="AK417" s="10">
        <f t="shared" si="35"/>
        <v>115.82210783892222</v>
      </c>
      <c r="AL417" s="10">
        <f t="shared" si="32"/>
        <v>132.7840238877167</v>
      </c>
      <c r="AM417" s="6"/>
    </row>
    <row r="418" spans="1:39" ht="31.5" customHeight="1">
      <c r="A418" s="40" t="s">
        <v>38</v>
      </c>
      <c r="B418" s="40" t="s">
        <v>24</v>
      </c>
      <c r="C418" s="26" t="s">
        <v>940</v>
      </c>
      <c r="D418" s="26"/>
      <c r="E418" s="27"/>
      <c r="F418" s="26" t="s">
        <v>941</v>
      </c>
      <c r="G418" s="28"/>
      <c r="H418" s="64" t="s">
        <v>24</v>
      </c>
      <c r="I418" s="66" t="s">
        <v>15</v>
      </c>
      <c r="J418" s="51" t="s">
        <v>8</v>
      </c>
      <c r="K418" s="112" t="s">
        <v>282</v>
      </c>
      <c r="L418" s="51" t="s">
        <v>1054</v>
      </c>
      <c r="M418" s="86">
        <v>2010</v>
      </c>
      <c r="N418" s="86">
        <v>2015</v>
      </c>
      <c r="O418" s="104">
        <v>23</v>
      </c>
      <c r="P418" s="29"/>
      <c r="Q418" s="251">
        <v>10</v>
      </c>
      <c r="R418" s="104">
        <v>12</v>
      </c>
      <c r="S418" s="104">
        <v>1</v>
      </c>
      <c r="T418" s="104"/>
      <c r="U418" s="104"/>
      <c r="V418" s="104"/>
      <c r="W418" s="57" t="s">
        <v>13</v>
      </c>
      <c r="X418" s="120" t="s">
        <v>12</v>
      </c>
      <c r="Y418" s="88" t="s">
        <v>249</v>
      </c>
      <c r="Z418" s="306" t="s">
        <v>1072</v>
      </c>
      <c r="AA418" s="243" t="s">
        <v>1312</v>
      </c>
      <c r="AB418" s="26"/>
      <c r="AC418" s="117"/>
      <c r="AD41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10</v>
      </c>
      <c r="AE41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11.730205278592376</v>
      </c>
      <c r="AF41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0.95929058542626566</v>
      </c>
      <c r="AG41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418"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418"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18" s="32">
        <f t="shared" si="31"/>
        <v>22.689495864018642</v>
      </c>
      <c r="AK418" s="32">
        <f t="shared" si="35"/>
        <v>0</v>
      </c>
      <c r="AL418" s="32">
        <f t="shared" si="32"/>
        <v>12.689495864018642</v>
      </c>
      <c r="AM418" s="6"/>
    </row>
    <row r="419" spans="1:39" ht="31.5" customHeight="1">
      <c r="A419" s="40" t="s">
        <v>38</v>
      </c>
      <c r="B419" s="40" t="s">
        <v>24</v>
      </c>
      <c r="C419" s="26" t="s">
        <v>940</v>
      </c>
      <c r="D419" s="26"/>
      <c r="E419" s="27"/>
      <c r="F419" s="26" t="s">
        <v>942</v>
      </c>
      <c r="G419" s="28"/>
      <c r="H419" s="64" t="s">
        <v>24</v>
      </c>
      <c r="I419" s="66" t="s">
        <v>15</v>
      </c>
      <c r="J419" s="51" t="s">
        <v>8</v>
      </c>
      <c r="K419" s="112" t="s">
        <v>282</v>
      </c>
      <c r="L419" s="51" t="s">
        <v>1054</v>
      </c>
      <c r="M419" s="86">
        <v>2010</v>
      </c>
      <c r="N419" s="86">
        <v>2018</v>
      </c>
      <c r="O419" s="104">
        <v>444</v>
      </c>
      <c r="P419" s="29"/>
      <c r="Q419" s="251">
        <v>68</v>
      </c>
      <c r="R419" s="104">
        <v>80</v>
      </c>
      <c r="S419" s="104">
        <v>93</v>
      </c>
      <c r="T419" s="104">
        <v>82</v>
      </c>
      <c r="U419" s="104">
        <v>121</v>
      </c>
      <c r="V419" s="104"/>
      <c r="W419" s="57" t="s">
        <v>13</v>
      </c>
      <c r="X419" s="120" t="s">
        <v>12</v>
      </c>
      <c r="Y419" s="88" t="s">
        <v>249</v>
      </c>
      <c r="Z419" s="306" t="s">
        <v>1072</v>
      </c>
      <c r="AA419" s="243" t="s">
        <v>1312</v>
      </c>
      <c r="AB419" s="26"/>
      <c r="AC419" s="117"/>
      <c r="AD41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68</v>
      </c>
      <c r="AE41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78.201368523949171</v>
      </c>
      <c r="AF41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89.214024444642703</v>
      </c>
      <c r="AG41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77.270950888952626</v>
      </c>
      <c r="AH419"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112.11580038807671</v>
      </c>
      <c r="AI419"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19" s="10">
        <f t="shared" si="31"/>
        <v>312.68634385754444</v>
      </c>
      <c r="AK419" s="10">
        <f t="shared" si="35"/>
        <v>112.11580038807671</v>
      </c>
      <c r="AL419" s="10">
        <f t="shared" si="32"/>
        <v>356.80214424562115</v>
      </c>
      <c r="AM419" s="6"/>
    </row>
    <row r="420" spans="1:39" ht="31.5" customHeight="1">
      <c r="A420" s="40" t="s">
        <v>38</v>
      </c>
      <c r="B420" s="40" t="s">
        <v>24</v>
      </c>
      <c r="C420" s="26" t="s">
        <v>940</v>
      </c>
      <c r="D420" s="26"/>
      <c r="E420" s="27"/>
      <c r="F420" s="26" t="s">
        <v>943</v>
      </c>
      <c r="G420" s="28"/>
      <c r="H420" s="64" t="s">
        <v>24</v>
      </c>
      <c r="I420" s="66" t="s">
        <v>15</v>
      </c>
      <c r="J420" s="51" t="s">
        <v>8</v>
      </c>
      <c r="K420" s="112" t="s">
        <v>282</v>
      </c>
      <c r="L420" s="51" t="s">
        <v>1054</v>
      </c>
      <c r="M420" s="86">
        <v>2010</v>
      </c>
      <c r="N420" s="86">
        <v>2017</v>
      </c>
      <c r="O420" s="104">
        <v>251</v>
      </c>
      <c r="P420" s="29"/>
      <c r="Q420" s="251">
        <v>52</v>
      </c>
      <c r="R420" s="104">
        <v>52</v>
      </c>
      <c r="S420" s="104">
        <v>56</v>
      </c>
      <c r="T420" s="104">
        <v>51</v>
      </c>
      <c r="U420" s="104">
        <v>40</v>
      </c>
      <c r="V420" s="104"/>
      <c r="W420" s="57" t="s">
        <v>13</v>
      </c>
      <c r="X420" s="120" t="s">
        <v>12</v>
      </c>
      <c r="Y420" s="88" t="s">
        <v>249</v>
      </c>
      <c r="Z420" s="306" t="s">
        <v>1072</v>
      </c>
      <c r="AA420" s="243" t="s">
        <v>1312</v>
      </c>
      <c r="AB420" s="26"/>
      <c r="AC420" s="117"/>
      <c r="AD42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52</v>
      </c>
      <c r="AE42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50.830889540566965</v>
      </c>
      <c r="AF42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53.720272783870875</v>
      </c>
      <c r="AG42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48.058762138251019</v>
      </c>
      <c r="AH420"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37.063074508455109</v>
      </c>
      <c r="AI420"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20" s="10">
        <f t="shared" si="31"/>
        <v>204.60992446268887</v>
      </c>
      <c r="AK420" s="10">
        <f t="shared" si="35"/>
        <v>37.063074508455109</v>
      </c>
      <c r="AL420" s="10">
        <f t="shared" si="32"/>
        <v>189.67299897114398</v>
      </c>
      <c r="AM420" s="6"/>
    </row>
    <row r="421" spans="1:39" ht="31.5" customHeight="1">
      <c r="A421" s="40" t="s">
        <v>38</v>
      </c>
      <c r="B421" s="40" t="s">
        <v>24</v>
      </c>
      <c r="C421" s="26" t="s">
        <v>940</v>
      </c>
      <c r="D421" s="26"/>
      <c r="E421" s="27"/>
      <c r="F421" s="26" t="s">
        <v>944</v>
      </c>
      <c r="G421" s="28"/>
      <c r="H421" s="64" t="s">
        <v>24</v>
      </c>
      <c r="I421" s="66" t="s">
        <v>15</v>
      </c>
      <c r="J421" s="51" t="s">
        <v>8</v>
      </c>
      <c r="K421" s="112" t="s">
        <v>282</v>
      </c>
      <c r="L421" s="51" t="s">
        <v>1054</v>
      </c>
      <c r="M421" s="86">
        <v>2010</v>
      </c>
      <c r="N421" s="86">
        <v>2017</v>
      </c>
      <c r="O421" s="104">
        <v>166</v>
      </c>
      <c r="P421" s="29"/>
      <c r="Q421" s="251">
        <v>28</v>
      </c>
      <c r="R421" s="104">
        <v>26</v>
      </c>
      <c r="S421" s="104">
        <v>29</v>
      </c>
      <c r="T421" s="104">
        <v>29</v>
      </c>
      <c r="U421" s="104">
        <v>54</v>
      </c>
      <c r="V421" s="104"/>
      <c r="W421" s="57" t="s">
        <v>13</v>
      </c>
      <c r="X421" s="120" t="s">
        <v>12</v>
      </c>
      <c r="Y421" s="88" t="s">
        <v>249</v>
      </c>
      <c r="Z421" s="306" t="s">
        <v>1072</v>
      </c>
      <c r="AA421" s="243" t="s">
        <v>1312</v>
      </c>
      <c r="AB421" s="26"/>
      <c r="AC421" s="117"/>
      <c r="AD42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28</v>
      </c>
      <c r="AE42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25.415444770283482</v>
      </c>
      <c r="AF42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27.819426977361704</v>
      </c>
      <c r="AG42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27.327531411946659</v>
      </c>
      <c r="AH421"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50.035150586414396</v>
      </c>
      <c r="AI421"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21" s="10">
        <f t="shared" si="31"/>
        <v>108.56240315959184</v>
      </c>
      <c r="AK421" s="10">
        <f t="shared" si="35"/>
        <v>50.035150586414396</v>
      </c>
      <c r="AL421" s="10">
        <f t="shared" si="32"/>
        <v>130.59755374600624</v>
      </c>
      <c r="AM421" s="6"/>
    </row>
    <row r="422" spans="1:39" ht="31.5" customHeight="1">
      <c r="A422" s="40" t="s">
        <v>38</v>
      </c>
      <c r="B422" s="40" t="s">
        <v>24</v>
      </c>
      <c r="C422" s="26" t="s">
        <v>940</v>
      </c>
      <c r="D422" s="26"/>
      <c r="E422" s="27"/>
      <c r="F422" s="26" t="s">
        <v>945</v>
      </c>
      <c r="G422" s="28"/>
      <c r="H422" s="64" t="s">
        <v>24</v>
      </c>
      <c r="I422" s="66" t="s">
        <v>15</v>
      </c>
      <c r="J422" s="51" t="s">
        <v>8</v>
      </c>
      <c r="K422" s="112" t="s">
        <v>282</v>
      </c>
      <c r="L422" s="51" t="s">
        <v>1054</v>
      </c>
      <c r="M422" s="86">
        <v>2010</v>
      </c>
      <c r="N422" s="86">
        <v>2015</v>
      </c>
      <c r="O422" s="104">
        <v>44</v>
      </c>
      <c r="P422" s="29"/>
      <c r="Q422" s="251">
        <v>1</v>
      </c>
      <c r="R422" s="104">
        <v>1</v>
      </c>
      <c r="S422" s="104">
        <v>27</v>
      </c>
      <c r="T422" s="104">
        <v>15</v>
      </c>
      <c r="U422" s="104"/>
      <c r="V422" s="104"/>
      <c r="W422" s="57" t="s">
        <v>13</v>
      </c>
      <c r="X422" s="120" t="s">
        <v>12</v>
      </c>
      <c r="Y422" s="88" t="s">
        <v>249</v>
      </c>
      <c r="Z422" s="306" t="s">
        <v>1072</v>
      </c>
      <c r="AA422" s="243" t="s">
        <v>1312</v>
      </c>
      <c r="AB422" s="26"/>
      <c r="AC422" s="117"/>
      <c r="AD42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v>
      </c>
      <c r="AE42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0.97751710654936463</v>
      </c>
      <c r="AF42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25.900845806509174</v>
      </c>
      <c r="AG42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14.134930040662065</v>
      </c>
      <c r="AH422"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422"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22" s="10">
        <f t="shared" si="31"/>
        <v>42.013292953720601</v>
      </c>
      <c r="AK422" s="10">
        <f t="shared" si="35"/>
        <v>0</v>
      </c>
      <c r="AL422" s="10">
        <f t="shared" si="32"/>
        <v>41.013292953720601</v>
      </c>
      <c r="AM422" s="6"/>
    </row>
    <row r="423" spans="1:39" ht="31.5" customHeight="1">
      <c r="A423" s="40" t="s">
        <v>38</v>
      </c>
      <c r="B423" s="40" t="s">
        <v>24</v>
      </c>
      <c r="C423" s="26" t="s">
        <v>940</v>
      </c>
      <c r="D423" s="26"/>
      <c r="E423" s="27"/>
      <c r="F423" s="26" t="s">
        <v>946</v>
      </c>
      <c r="G423" s="28"/>
      <c r="H423" s="64" t="s">
        <v>24</v>
      </c>
      <c r="I423" s="66" t="s">
        <v>15</v>
      </c>
      <c r="J423" s="51" t="s">
        <v>8</v>
      </c>
      <c r="K423" s="112" t="s">
        <v>282</v>
      </c>
      <c r="L423" s="51" t="s">
        <v>1054</v>
      </c>
      <c r="M423" s="86">
        <v>2010</v>
      </c>
      <c r="N423" s="86">
        <v>2021</v>
      </c>
      <c r="O423" s="104">
        <v>629</v>
      </c>
      <c r="P423" s="29"/>
      <c r="Q423" s="251">
        <v>59</v>
      </c>
      <c r="R423" s="104">
        <v>30</v>
      </c>
      <c r="S423" s="104">
        <v>50</v>
      </c>
      <c r="T423" s="104">
        <v>48</v>
      </c>
      <c r="U423" s="104">
        <v>413</v>
      </c>
      <c r="V423" s="104">
        <v>29</v>
      </c>
      <c r="W423" s="57" t="s">
        <v>13</v>
      </c>
      <c r="X423" s="120" t="s">
        <v>12</v>
      </c>
      <c r="Y423" s="88" t="s">
        <v>249</v>
      </c>
      <c r="Z423" s="306" t="s">
        <v>1072</v>
      </c>
      <c r="AA423" s="243" t="s">
        <v>1312</v>
      </c>
      <c r="AB423" s="26"/>
      <c r="AC423" s="117"/>
      <c r="AD42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59</v>
      </c>
      <c r="AE42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29.325513196480941</v>
      </c>
      <c r="AF42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47.964529271313282</v>
      </c>
      <c r="AG42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45.231776130118611</v>
      </c>
      <c r="AH423"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382.67624429979901</v>
      </c>
      <c r="AI423"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24.897628416731948</v>
      </c>
      <c r="AJ423" s="10">
        <f t="shared" si="31"/>
        <v>181.52181859791284</v>
      </c>
      <c r="AK423" s="10">
        <f t="shared" si="35"/>
        <v>407.57387271653096</v>
      </c>
      <c r="AL423" s="10">
        <f t="shared" si="32"/>
        <v>530.0956913144438</v>
      </c>
      <c r="AM423" s="6"/>
    </row>
    <row r="424" spans="1:39" ht="31.5" customHeight="1">
      <c r="A424" s="40" t="s">
        <v>38</v>
      </c>
      <c r="B424" s="40" t="s">
        <v>24</v>
      </c>
      <c r="C424" s="26" t="s">
        <v>940</v>
      </c>
      <c r="D424" s="26"/>
      <c r="E424" s="27"/>
      <c r="F424" s="26" t="s">
        <v>947</v>
      </c>
      <c r="G424" s="28"/>
      <c r="H424" s="64" t="s">
        <v>24</v>
      </c>
      <c r="I424" s="66" t="s">
        <v>15</v>
      </c>
      <c r="J424" s="51" t="s">
        <v>8</v>
      </c>
      <c r="K424" s="112" t="s">
        <v>282</v>
      </c>
      <c r="L424" s="51" t="s">
        <v>444</v>
      </c>
      <c r="M424" s="86">
        <v>2016</v>
      </c>
      <c r="N424" s="86">
        <v>2024</v>
      </c>
      <c r="O424" s="104">
        <v>118</v>
      </c>
      <c r="P424" s="29"/>
      <c r="Q424" s="251"/>
      <c r="R424" s="104">
        <v>1</v>
      </c>
      <c r="S424" s="104"/>
      <c r="T424" s="104"/>
      <c r="U424" s="104">
        <v>99</v>
      </c>
      <c r="V424" s="104">
        <v>18</v>
      </c>
      <c r="W424" s="57" t="s">
        <v>13</v>
      </c>
      <c r="X424" s="120" t="s">
        <v>12</v>
      </c>
      <c r="Y424" s="88" t="s">
        <v>249</v>
      </c>
      <c r="Z424" s="306" t="s">
        <v>1072</v>
      </c>
      <c r="AA424" s="243" t="s">
        <v>1312</v>
      </c>
      <c r="AB424" s="26"/>
      <c r="AC424" s="117"/>
      <c r="AD42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42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0.97751710654936463</v>
      </c>
      <c r="AF42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42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424"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91.731109408426391</v>
      </c>
      <c r="AI424"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15.453700396592245</v>
      </c>
      <c r="AJ424" s="10">
        <f t="shared" si="31"/>
        <v>0.97751710654936463</v>
      </c>
      <c r="AK424" s="10">
        <f t="shared" si="35"/>
        <v>107.18480980501863</v>
      </c>
      <c r="AL424" s="10">
        <f t="shared" si="32"/>
        <v>108.162326911568</v>
      </c>
      <c r="AM424" s="6"/>
    </row>
    <row r="425" spans="1:39" ht="31.5" customHeight="1">
      <c r="A425" s="40" t="s">
        <v>38</v>
      </c>
      <c r="B425" s="40" t="s">
        <v>24</v>
      </c>
      <c r="C425" s="26" t="s">
        <v>940</v>
      </c>
      <c r="D425" s="26"/>
      <c r="E425" s="27"/>
      <c r="F425" s="26" t="s">
        <v>948</v>
      </c>
      <c r="G425" s="28"/>
      <c r="H425" s="64" t="s">
        <v>24</v>
      </c>
      <c r="I425" s="66" t="s">
        <v>15</v>
      </c>
      <c r="J425" s="51" t="s">
        <v>8</v>
      </c>
      <c r="K425" s="112" t="s">
        <v>282</v>
      </c>
      <c r="L425" s="51" t="s">
        <v>444</v>
      </c>
      <c r="M425" s="86">
        <v>2016</v>
      </c>
      <c r="N425" s="86">
        <v>2023</v>
      </c>
      <c r="O425" s="104">
        <v>225</v>
      </c>
      <c r="P425" s="29"/>
      <c r="Q425" s="251"/>
      <c r="R425" s="104">
        <v>1</v>
      </c>
      <c r="S425" s="104">
        <v>2</v>
      </c>
      <c r="T425" s="104">
        <v>3</v>
      </c>
      <c r="U425" s="104">
        <v>196</v>
      </c>
      <c r="V425" s="104">
        <v>23</v>
      </c>
      <c r="W425" s="57" t="s">
        <v>13</v>
      </c>
      <c r="X425" s="120" t="s">
        <v>12</v>
      </c>
      <c r="Y425" s="88" t="s">
        <v>249</v>
      </c>
      <c r="Z425" s="306" t="s">
        <v>1072</v>
      </c>
      <c r="AA425" s="243" t="s">
        <v>1312</v>
      </c>
      <c r="AB425" s="26"/>
      <c r="AC425" s="117"/>
      <c r="AD42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42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0.97751710654936463</v>
      </c>
      <c r="AF42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1.9185811708525313</v>
      </c>
      <c r="AG42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2.8269860081324132</v>
      </c>
      <c r="AH425"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181.60906509143004</v>
      </c>
      <c r="AI425"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19.7463949512012</v>
      </c>
      <c r="AJ425" s="32">
        <f t="shared" si="31"/>
        <v>5.7230842855343091</v>
      </c>
      <c r="AK425" s="32">
        <f t="shared" si="35"/>
        <v>201.35546004263125</v>
      </c>
      <c r="AL425" s="32">
        <f t="shared" si="32"/>
        <v>207.07854432816555</v>
      </c>
      <c r="AM425" s="6"/>
    </row>
    <row r="426" spans="1:39" ht="31.5" customHeight="1">
      <c r="A426" s="40" t="s">
        <v>38</v>
      </c>
      <c r="B426" s="40" t="s">
        <v>24</v>
      </c>
      <c r="C426" s="26" t="s">
        <v>940</v>
      </c>
      <c r="D426" s="26" t="s">
        <v>949</v>
      </c>
      <c r="E426" s="27"/>
      <c r="F426" s="26"/>
      <c r="G426" s="28"/>
      <c r="H426" s="64" t="s">
        <v>24</v>
      </c>
      <c r="I426" s="66" t="s">
        <v>15</v>
      </c>
      <c r="J426" s="51" t="s">
        <v>8</v>
      </c>
      <c r="K426" s="112" t="s">
        <v>282</v>
      </c>
      <c r="L426" s="51" t="s">
        <v>444</v>
      </c>
      <c r="M426" s="75">
        <v>2016</v>
      </c>
      <c r="N426" s="75" t="s">
        <v>29</v>
      </c>
      <c r="O426" s="104">
        <v>119</v>
      </c>
      <c r="P426" s="29"/>
      <c r="Q426" s="251"/>
      <c r="R426" s="104">
        <v>3</v>
      </c>
      <c r="S426" s="104">
        <v>24</v>
      </c>
      <c r="T426" s="104">
        <v>25</v>
      </c>
      <c r="U426" s="104">
        <v>56</v>
      </c>
      <c r="V426" s="104">
        <v>11</v>
      </c>
      <c r="W426" s="57" t="s">
        <v>13</v>
      </c>
      <c r="X426" s="120" t="s">
        <v>12</v>
      </c>
      <c r="Y426" s="88" t="s">
        <v>249</v>
      </c>
      <c r="Z426" s="306" t="s">
        <v>1072</v>
      </c>
      <c r="AA426" s="243" t="s">
        <v>1312</v>
      </c>
      <c r="AB426" s="26"/>
      <c r="AC426" s="117"/>
      <c r="AD42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42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2.9325513196480939</v>
      </c>
      <c r="AF42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23.022974050230374</v>
      </c>
      <c r="AG42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23.558216734436776</v>
      </c>
      <c r="AH426"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51.888304311837153</v>
      </c>
      <c r="AI426"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9.4439280201397047</v>
      </c>
      <c r="AJ426" s="32">
        <f t="shared" si="31"/>
        <v>49.513742104315241</v>
      </c>
      <c r="AK426" s="32">
        <f t="shared" si="35"/>
        <v>61.332232331976854</v>
      </c>
      <c r="AL426" s="32">
        <f t="shared" si="32"/>
        <v>110.8459744362921</v>
      </c>
      <c r="AM426" s="6"/>
    </row>
    <row r="427" spans="1:39" ht="31.5" customHeight="1">
      <c r="A427" s="40" t="s">
        <v>38</v>
      </c>
      <c r="B427" s="40" t="s">
        <v>24</v>
      </c>
      <c r="C427" s="26" t="s">
        <v>940</v>
      </c>
      <c r="D427" s="26" t="s">
        <v>950</v>
      </c>
      <c r="E427" s="27"/>
      <c r="F427" s="26"/>
      <c r="G427" s="28"/>
      <c r="H427" s="64" t="s">
        <v>24</v>
      </c>
      <c r="I427" s="66" t="s">
        <v>15</v>
      </c>
      <c r="J427" s="51" t="s">
        <v>8</v>
      </c>
      <c r="K427" s="112" t="s">
        <v>282</v>
      </c>
      <c r="L427" s="51" t="s">
        <v>444</v>
      </c>
      <c r="M427" s="75">
        <v>2016</v>
      </c>
      <c r="N427" s="75" t="s">
        <v>29</v>
      </c>
      <c r="O427" s="104">
        <v>329</v>
      </c>
      <c r="P427" s="29"/>
      <c r="Q427" s="251"/>
      <c r="R427" s="104">
        <v>6</v>
      </c>
      <c r="S427" s="104">
        <v>13</v>
      </c>
      <c r="T427" s="104">
        <v>31</v>
      </c>
      <c r="U427" s="104">
        <v>279</v>
      </c>
      <c r="V427" s="104"/>
      <c r="W427" s="57" t="s">
        <v>13</v>
      </c>
      <c r="X427" s="120" t="s">
        <v>12</v>
      </c>
      <c r="Y427" s="88" t="s">
        <v>249</v>
      </c>
      <c r="Z427" s="306" t="s">
        <v>1072</v>
      </c>
      <c r="AA427" s="243" t="s">
        <v>1312</v>
      </c>
      <c r="AB427" s="26"/>
      <c r="AC427" s="117"/>
      <c r="AD42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42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5.8651026392961878</v>
      </c>
      <c r="AF42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12.470777610541454</v>
      </c>
      <c r="AG42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29.212188750701603</v>
      </c>
      <c r="AH427"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258.5149446964744</v>
      </c>
      <c r="AI427"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27" s="32">
        <f t="shared" si="31"/>
        <v>47.548069000539243</v>
      </c>
      <c r="AK427" s="32">
        <f t="shared" si="35"/>
        <v>258.5149446964744</v>
      </c>
      <c r="AL427" s="32">
        <f t="shared" si="32"/>
        <v>306.06301369701362</v>
      </c>
      <c r="AM427" s="6"/>
    </row>
    <row r="428" spans="1:39" ht="31.5" customHeight="1">
      <c r="A428" s="40" t="s">
        <v>38</v>
      </c>
      <c r="B428" s="40" t="s">
        <v>24</v>
      </c>
      <c r="C428" s="26" t="s">
        <v>940</v>
      </c>
      <c r="D428" s="26" t="s">
        <v>1118</v>
      </c>
      <c r="E428" s="27"/>
      <c r="F428" s="26"/>
      <c r="G428" s="28"/>
      <c r="H428" s="64" t="s">
        <v>24</v>
      </c>
      <c r="I428" s="66" t="s">
        <v>15</v>
      </c>
      <c r="J428" s="51" t="s">
        <v>8</v>
      </c>
      <c r="K428" s="112" t="s">
        <v>282</v>
      </c>
      <c r="L428" s="51" t="s">
        <v>1000</v>
      </c>
      <c r="M428" s="75">
        <v>2012</v>
      </c>
      <c r="N428" s="75" t="s">
        <v>29</v>
      </c>
      <c r="O428" s="104">
        <v>74</v>
      </c>
      <c r="P428" s="29"/>
      <c r="Q428" s="251">
        <v>21</v>
      </c>
      <c r="R428" s="104">
        <v>26</v>
      </c>
      <c r="S428" s="104">
        <v>13</v>
      </c>
      <c r="T428" s="104">
        <v>10</v>
      </c>
      <c r="U428" s="104">
        <v>4</v>
      </c>
      <c r="V428" s="104"/>
      <c r="W428" s="57" t="s">
        <v>13</v>
      </c>
      <c r="X428" s="120" t="s">
        <v>12</v>
      </c>
      <c r="Y428" s="88" t="s">
        <v>249</v>
      </c>
      <c r="Z428" s="306" t="s">
        <v>1072</v>
      </c>
      <c r="AA428" s="243" t="s">
        <v>1312</v>
      </c>
      <c r="AB428" s="26"/>
      <c r="AC428" s="117"/>
      <c r="AD42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21</v>
      </c>
      <c r="AE42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25.415444770283482</v>
      </c>
      <c r="AF42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12.470777610541454</v>
      </c>
      <c r="AG42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9.4232866937747097</v>
      </c>
      <c r="AH428"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3.7063074508455109</v>
      </c>
      <c r="AI428"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28" s="32">
        <f t="shared" si="31"/>
        <v>68.309509074599646</v>
      </c>
      <c r="AK428" s="32">
        <f t="shared" si="35"/>
        <v>3.7063074508455109</v>
      </c>
      <c r="AL428" s="32">
        <f t="shared" si="32"/>
        <v>51.01581652544516</v>
      </c>
      <c r="AM428" s="6"/>
    </row>
    <row r="429" spans="1:39" ht="31.5" customHeight="1">
      <c r="A429" s="40" t="s">
        <v>38</v>
      </c>
      <c r="B429" s="40" t="s">
        <v>24</v>
      </c>
      <c r="C429" s="26" t="s">
        <v>940</v>
      </c>
      <c r="D429" s="26" t="s">
        <v>951</v>
      </c>
      <c r="E429" s="27"/>
      <c r="F429" s="26"/>
      <c r="G429" s="28"/>
      <c r="H429" s="64" t="s">
        <v>24</v>
      </c>
      <c r="I429" s="66" t="s">
        <v>15</v>
      </c>
      <c r="J429" s="51" t="s">
        <v>8</v>
      </c>
      <c r="K429" s="112" t="s">
        <v>282</v>
      </c>
      <c r="L429" s="51" t="s">
        <v>1000</v>
      </c>
      <c r="M429" s="75">
        <v>2012</v>
      </c>
      <c r="N429" s="75" t="s">
        <v>29</v>
      </c>
      <c r="O429" s="104">
        <v>67</v>
      </c>
      <c r="P429" s="29"/>
      <c r="Q429" s="251">
        <v>7</v>
      </c>
      <c r="R429" s="104">
        <v>18</v>
      </c>
      <c r="S429" s="104">
        <v>13</v>
      </c>
      <c r="T429" s="104">
        <v>5</v>
      </c>
      <c r="U429" s="104">
        <v>20</v>
      </c>
      <c r="V429" s="104">
        <v>4</v>
      </c>
      <c r="W429" s="57" t="s">
        <v>13</v>
      </c>
      <c r="X429" s="120" t="s">
        <v>12</v>
      </c>
      <c r="Y429" s="88" t="s">
        <v>249</v>
      </c>
      <c r="Z429" s="306" t="s">
        <v>1072</v>
      </c>
      <c r="AA429" s="243" t="s">
        <v>1312</v>
      </c>
      <c r="AB429" s="26"/>
      <c r="AC429" s="117"/>
      <c r="AD42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7</v>
      </c>
      <c r="AE42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17.595307917888565</v>
      </c>
      <c r="AF42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12.470777610541454</v>
      </c>
      <c r="AG42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4.7116433468873549</v>
      </c>
      <c r="AH429"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18.531537254227555</v>
      </c>
      <c r="AI429"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3.4341556436871654</v>
      </c>
      <c r="AJ429" s="10">
        <f t="shared" si="31"/>
        <v>41.777728875317379</v>
      </c>
      <c r="AK429" s="10">
        <f t="shared" si="35"/>
        <v>21.965692897914721</v>
      </c>
      <c r="AL429" s="10">
        <f t="shared" si="32"/>
        <v>56.7434217732321</v>
      </c>
      <c r="AM429" s="6"/>
    </row>
    <row r="430" spans="1:39" ht="31.5" customHeight="1">
      <c r="A430" s="40" t="s">
        <v>38</v>
      </c>
      <c r="B430" s="40" t="s">
        <v>24</v>
      </c>
      <c r="C430" s="26" t="s">
        <v>961</v>
      </c>
      <c r="D430" s="26" t="s">
        <v>962</v>
      </c>
      <c r="E430" s="27"/>
      <c r="F430" s="26"/>
      <c r="G430" s="28"/>
      <c r="H430" s="64" t="s">
        <v>24</v>
      </c>
      <c r="I430" s="66" t="s">
        <v>15</v>
      </c>
      <c r="J430" s="51" t="s">
        <v>8</v>
      </c>
      <c r="K430" s="112" t="s">
        <v>282</v>
      </c>
      <c r="L430" s="51" t="s">
        <v>1000</v>
      </c>
      <c r="M430" s="75" t="s">
        <v>1148</v>
      </c>
      <c r="N430" s="75" t="s">
        <v>29</v>
      </c>
      <c r="O430" s="104">
        <v>461</v>
      </c>
      <c r="P430" s="29"/>
      <c r="Q430" s="251">
        <v>24</v>
      </c>
      <c r="R430" s="104">
        <v>65</v>
      </c>
      <c r="S430" s="104">
        <v>113</v>
      </c>
      <c r="T430" s="104">
        <v>98</v>
      </c>
      <c r="U430" s="104">
        <v>149</v>
      </c>
      <c r="V430" s="104">
        <v>12</v>
      </c>
      <c r="W430" s="57" t="s">
        <v>13</v>
      </c>
      <c r="X430" s="120" t="s">
        <v>12</v>
      </c>
      <c r="Y430" s="88" t="s">
        <v>249</v>
      </c>
      <c r="Z430" s="306" t="s">
        <v>1072</v>
      </c>
      <c r="AA430" s="243" t="s">
        <v>1312</v>
      </c>
      <c r="AB430" s="26"/>
      <c r="AC430" s="117"/>
      <c r="AD43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24</v>
      </c>
      <c r="AE43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63.5386119257087</v>
      </c>
      <c r="AF43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108.39983615316802</v>
      </c>
      <c r="AG43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92.348209598992156</v>
      </c>
      <c r="AH430"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138.05995254399528</v>
      </c>
      <c r="AI430"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10.302466931061497</v>
      </c>
      <c r="AJ430" s="10">
        <f t="shared" si="31"/>
        <v>288.2866576778689</v>
      </c>
      <c r="AK430" s="10">
        <f t="shared" si="35"/>
        <v>148.36241947505678</v>
      </c>
      <c r="AL430" s="10">
        <f t="shared" si="32"/>
        <v>412.64907715292566</v>
      </c>
      <c r="AM430" s="6"/>
    </row>
    <row r="431" spans="1:39" ht="31.5" customHeight="1">
      <c r="A431" s="40" t="s">
        <v>38</v>
      </c>
      <c r="B431" s="40" t="s">
        <v>24</v>
      </c>
      <c r="C431" s="26" t="s">
        <v>961</v>
      </c>
      <c r="D431" s="26" t="s">
        <v>963</v>
      </c>
      <c r="E431" s="27"/>
      <c r="F431" s="26"/>
      <c r="G431" s="28"/>
      <c r="H431" s="64" t="s">
        <v>24</v>
      </c>
      <c r="I431" s="66" t="s">
        <v>15</v>
      </c>
      <c r="J431" s="51" t="s">
        <v>8</v>
      </c>
      <c r="K431" s="112" t="s">
        <v>282</v>
      </c>
      <c r="L431" s="51" t="s">
        <v>1000</v>
      </c>
      <c r="M431" s="75" t="s">
        <v>1148</v>
      </c>
      <c r="N431" s="75" t="s">
        <v>29</v>
      </c>
      <c r="O431" s="104">
        <v>167</v>
      </c>
      <c r="P431" s="29"/>
      <c r="Q431" s="251"/>
      <c r="R431" s="104">
        <v>11</v>
      </c>
      <c r="S431" s="104">
        <v>50</v>
      </c>
      <c r="T431" s="104">
        <v>59</v>
      </c>
      <c r="U431" s="104">
        <v>33</v>
      </c>
      <c r="V431" s="104">
        <v>14</v>
      </c>
      <c r="W431" s="57" t="s">
        <v>13</v>
      </c>
      <c r="X431" s="120" t="s">
        <v>12</v>
      </c>
      <c r="Y431" s="88" t="s">
        <v>249</v>
      </c>
      <c r="Z431" s="306" t="s">
        <v>1072</v>
      </c>
      <c r="AA431" s="243" t="s">
        <v>1312</v>
      </c>
      <c r="AB431" s="26"/>
      <c r="AC431" s="117"/>
      <c r="AD43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43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10.752688172043012</v>
      </c>
      <c r="AF43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47.964529271313282</v>
      </c>
      <c r="AG43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55.597391493270791</v>
      </c>
      <c r="AH431"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30.577036469475466</v>
      </c>
      <c r="AI431"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12.019544752905079</v>
      </c>
      <c r="AJ431" s="10">
        <f t="shared" si="31"/>
        <v>114.31460893662708</v>
      </c>
      <c r="AK431" s="10">
        <f t="shared" si="35"/>
        <v>42.596581222380543</v>
      </c>
      <c r="AL431" s="10">
        <f t="shared" si="32"/>
        <v>156.91119015900762</v>
      </c>
      <c r="AM431" s="6"/>
    </row>
    <row r="432" spans="1:39" ht="31.5" customHeight="1">
      <c r="A432" s="40" t="s">
        <v>38</v>
      </c>
      <c r="B432" s="40" t="s">
        <v>24</v>
      </c>
      <c r="C432" s="26" t="s">
        <v>961</v>
      </c>
      <c r="D432" s="26" t="s">
        <v>964</v>
      </c>
      <c r="E432" s="27"/>
      <c r="F432" s="26"/>
      <c r="G432" s="28"/>
      <c r="H432" s="64" t="s">
        <v>24</v>
      </c>
      <c r="I432" s="66" t="s">
        <v>15</v>
      </c>
      <c r="J432" s="51" t="s">
        <v>8</v>
      </c>
      <c r="K432" s="112" t="s">
        <v>282</v>
      </c>
      <c r="L432" s="51" t="s">
        <v>444</v>
      </c>
      <c r="M432" s="75" t="s">
        <v>27</v>
      </c>
      <c r="N432" s="75" t="s">
        <v>29</v>
      </c>
      <c r="O432" s="104">
        <v>394</v>
      </c>
      <c r="P432" s="29"/>
      <c r="Q432" s="251">
        <v>-5</v>
      </c>
      <c r="R432" s="104">
        <v>-23</v>
      </c>
      <c r="S432" s="104">
        <v>47</v>
      </c>
      <c r="T432" s="104">
        <v>63</v>
      </c>
      <c r="U432" s="104">
        <v>266</v>
      </c>
      <c r="V432" s="104">
        <v>46</v>
      </c>
      <c r="W432" s="57" t="s">
        <v>13</v>
      </c>
      <c r="X432" s="120" t="s">
        <v>12</v>
      </c>
      <c r="Y432" s="88" t="s">
        <v>249</v>
      </c>
      <c r="Z432" s="306" t="s">
        <v>1072</v>
      </c>
      <c r="AA432" s="243" t="s">
        <v>1312</v>
      </c>
      <c r="AB432" s="26"/>
      <c r="AC432" s="117"/>
      <c r="AD43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-5</v>
      </c>
      <c r="AE43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-22.482893450635387</v>
      </c>
      <c r="AF43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45.086657515034489</v>
      </c>
      <c r="AG43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59.366706170780674</v>
      </c>
      <c r="AH432"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246.46944548122647</v>
      </c>
      <c r="AI432"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39.4927899024024</v>
      </c>
      <c r="AJ432" s="10">
        <f t="shared" si="31"/>
        <v>76.970470235179775</v>
      </c>
      <c r="AK432" s="10">
        <f t="shared" si="35"/>
        <v>285.96223538362887</v>
      </c>
      <c r="AL432" s="10">
        <f t="shared" si="32"/>
        <v>367.93270561880865</v>
      </c>
      <c r="AM432" s="6"/>
    </row>
    <row r="433" spans="1:39" ht="31.5" customHeight="1">
      <c r="A433" s="40" t="s">
        <v>38</v>
      </c>
      <c r="B433" s="40" t="s">
        <v>24</v>
      </c>
      <c r="C433" s="26" t="s">
        <v>1197</v>
      </c>
      <c r="D433" s="26" t="s">
        <v>953</v>
      </c>
      <c r="E433" s="27"/>
      <c r="F433" s="26"/>
      <c r="G433" s="28"/>
      <c r="H433" s="64" t="s">
        <v>24</v>
      </c>
      <c r="I433" s="66" t="s">
        <v>15</v>
      </c>
      <c r="J433" s="51" t="s">
        <v>8</v>
      </c>
      <c r="K433" s="112" t="s">
        <v>282</v>
      </c>
      <c r="L433" s="51" t="s">
        <v>1000</v>
      </c>
      <c r="M433" s="75" t="s">
        <v>1148</v>
      </c>
      <c r="N433" s="75" t="s">
        <v>1149</v>
      </c>
      <c r="O433" s="104">
        <v>1041</v>
      </c>
      <c r="P433" s="29"/>
      <c r="Q433" s="251">
        <v>67</v>
      </c>
      <c r="R433" s="104">
        <v>124</v>
      </c>
      <c r="S433" s="104">
        <v>157</v>
      </c>
      <c r="T433" s="104">
        <v>94</v>
      </c>
      <c r="U433" s="104">
        <v>508</v>
      </c>
      <c r="V433" s="104">
        <v>91</v>
      </c>
      <c r="W433" s="57" t="s">
        <v>13</v>
      </c>
      <c r="X433" s="120" t="s">
        <v>12</v>
      </c>
      <c r="Y433" s="88" t="s">
        <v>249</v>
      </c>
      <c r="Z433" s="306" t="s">
        <v>1072</v>
      </c>
      <c r="AA433" s="243" t="s">
        <v>1312</v>
      </c>
      <c r="AB433" s="26"/>
      <c r="AC433" s="117"/>
      <c r="AD43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67</v>
      </c>
      <c r="AE43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121.21212121212122</v>
      </c>
      <c r="AF43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150.60862191192371</v>
      </c>
      <c r="AG43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88.578894921482274</v>
      </c>
      <c r="AH433"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470.70104625737991</v>
      </c>
      <c r="AI433"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78.12704089388302</v>
      </c>
      <c r="AJ433" s="10">
        <f t="shared" si="31"/>
        <v>427.39963804552724</v>
      </c>
      <c r="AK433" s="10">
        <f t="shared" si="35"/>
        <v>548.82808715126293</v>
      </c>
      <c r="AL433" s="10">
        <f t="shared" si="32"/>
        <v>909.22772519679017</v>
      </c>
      <c r="AM433" s="6"/>
    </row>
    <row r="434" spans="1:39" ht="31.5" customHeight="1">
      <c r="A434" s="40" t="s">
        <v>38</v>
      </c>
      <c r="B434" s="40" t="s">
        <v>24</v>
      </c>
      <c r="C434" s="26" t="s">
        <v>953</v>
      </c>
      <c r="D434" s="26" t="s">
        <v>954</v>
      </c>
      <c r="E434" s="27"/>
      <c r="F434" s="26"/>
      <c r="G434" s="28"/>
      <c r="H434" s="64" t="s">
        <v>24</v>
      </c>
      <c r="I434" s="66" t="s">
        <v>15</v>
      </c>
      <c r="J434" s="51" t="s">
        <v>8</v>
      </c>
      <c r="K434" s="112" t="s">
        <v>282</v>
      </c>
      <c r="L434" s="51" t="s">
        <v>1000</v>
      </c>
      <c r="M434" s="75" t="s">
        <v>1148</v>
      </c>
      <c r="N434" s="75" t="s">
        <v>1149</v>
      </c>
      <c r="O434" s="104">
        <v>517</v>
      </c>
      <c r="P434" s="29"/>
      <c r="Q434" s="251">
        <v>34</v>
      </c>
      <c r="R434" s="104">
        <v>61</v>
      </c>
      <c r="S434" s="104">
        <v>66</v>
      </c>
      <c r="T434" s="104">
        <v>66</v>
      </c>
      <c r="U434" s="104">
        <v>249</v>
      </c>
      <c r="V434" s="104">
        <v>41</v>
      </c>
      <c r="W434" s="57" t="s">
        <v>13</v>
      </c>
      <c r="X434" s="120" t="s">
        <v>12</v>
      </c>
      <c r="Y434" s="88" t="s">
        <v>249</v>
      </c>
      <c r="Z434" s="306" t="s">
        <v>1072</v>
      </c>
      <c r="AA434" s="243" t="s">
        <v>1312</v>
      </c>
      <c r="AB434" s="26"/>
      <c r="AC434" s="117"/>
      <c r="AD43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34</v>
      </c>
      <c r="AE43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59.628543499511245</v>
      </c>
      <c r="AF43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63.313178638133536</v>
      </c>
      <c r="AG43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62.193692178913089</v>
      </c>
      <c r="AH434"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230.71763881513306</v>
      </c>
      <c r="AI434"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35.200095347793443</v>
      </c>
      <c r="AJ434" s="10">
        <f t="shared" si="31"/>
        <v>219.13541431655787</v>
      </c>
      <c r="AK434" s="10">
        <f t="shared" si="35"/>
        <v>265.91773416292648</v>
      </c>
      <c r="AL434" s="10">
        <f t="shared" si="32"/>
        <v>451.05314847948432</v>
      </c>
      <c r="AM434" s="6"/>
    </row>
    <row r="435" spans="1:39" ht="31.5" customHeight="1">
      <c r="A435" s="40" t="s">
        <v>38</v>
      </c>
      <c r="B435" s="40" t="s">
        <v>24</v>
      </c>
      <c r="C435" s="26" t="s">
        <v>953</v>
      </c>
      <c r="D435" s="26" t="s">
        <v>955</v>
      </c>
      <c r="E435" s="27"/>
      <c r="F435" s="26"/>
      <c r="G435" s="28"/>
      <c r="H435" s="64" t="s">
        <v>24</v>
      </c>
      <c r="I435" s="66" t="s">
        <v>15</v>
      </c>
      <c r="J435" s="51" t="s">
        <v>8</v>
      </c>
      <c r="K435" s="112" t="s">
        <v>282</v>
      </c>
      <c r="L435" s="51" t="s">
        <v>1000</v>
      </c>
      <c r="M435" s="75" t="s">
        <v>1148</v>
      </c>
      <c r="N435" s="75" t="s">
        <v>1149</v>
      </c>
      <c r="O435" s="104">
        <v>521</v>
      </c>
      <c r="P435" s="29"/>
      <c r="Q435" s="251">
        <v>7</v>
      </c>
      <c r="R435" s="104">
        <v>25</v>
      </c>
      <c r="S435" s="104">
        <v>59</v>
      </c>
      <c r="T435" s="104">
        <v>60</v>
      </c>
      <c r="U435" s="104">
        <v>320</v>
      </c>
      <c r="V435" s="104">
        <v>50</v>
      </c>
      <c r="W435" s="57" t="s">
        <v>13</v>
      </c>
      <c r="X435" s="120" t="s">
        <v>12</v>
      </c>
      <c r="Y435" s="88" t="s">
        <v>249</v>
      </c>
      <c r="Z435" s="306" t="s">
        <v>1072</v>
      </c>
      <c r="AA435" s="243" t="s">
        <v>1312</v>
      </c>
      <c r="AB435" s="26"/>
      <c r="AC435" s="117"/>
      <c r="AD43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7</v>
      </c>
      <c r="AE43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24.437927663734115</v>
      </c>
      <c r="AF43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56.598144540149676</v>
      </c>
      <c r="AG43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56.539720162648258</v>
      </c>
      <c r="AH435"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296.50459606764088</v>
      </c>
      <c r="AI435"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42.92694554608957</v>
      </c>
      <c r="AJ435" s="10">
        <f t="shared" si="31"/>
        <v>144.57579236653206</v>
      </c>
      <c r="AK435" s="10">
        <f t="shared" si="35"/>
        <v>339.43154161373047</v>
      </c>
      <c r="AL435" s="10">
        <f t="shared" si="32"/>
        <v>477.0073339802625</v>
      </c>
      <c r="AM435" s="6"/>
    </row>
    <row r="436" spans="1:39" ht="31.5" customHeight="1">
      <c r="A436" s="40" t="s">
        <v>38</v>
      </c>
      <c r="B436" s="40" t="s">
        <v>24</v>
      </c>
      <c r="C436" s="26" t="s">
        <v>953</v>
      </c>
      <c r="D436" s="26" t="s">
        <v>956</v>
      </c>
      <c r="E436" s="27"/>
      <c r="F436" s="26"/>
      <c r="G436" s="28"/>
      <c r="H436" s="64" t="s">
        <v>24</v>
      </c>
      <c r="I436" s="66" t="s">
        <v>15</v>
      </c>
      <c r="J436" s="51" t="s">
        <v>8</v>
      </c>
      <c r="K436" s="112" t="s">
        <v>282</v>
      </c>
      <c r="L436" s="51" t="s">
        <v>1000</v>
      </c>
      <c r="M436" s="75" t="s">
        <v>1148</v>
      </c>
      <c r="N436" s="75" t="s">
        <v>1149</v>
      </c>
      <c r="O436" s="104">
        <v>79</v>
      </c>
      <c r="P436" s="29"/>
      <c r="Q436" s="251"/>
      <c r="R436" s="104">
        <v>2</v>
      </c>
      <c r="S436" s="104">
        <v>4</v>
      </c>
      <c r="T436" s="104">
        <v>8</v>
      </c>
      <c r="U436" s="104">
        <v>60</v>
      </c>
      <c r="V436" s="104">
        <v>5</v>
      </c>
      <c r="W436" s="57" t="s">
        <v>13</v>
      </c>
      <c r="X436" s="120" t="s">
        <v>12</v>
      </c>
      <c r="Y436" s="88" t="s">
        <v>249</v>
      </c>
      <c r="Z436" s="306" t="s">
        <v>1072</v>
      </c>
      <c r="AA436" s="243" t="s">
        <v>1312</v>
      </c>
      <c r="AB436" s="26"/>
      <c r="AC436" s="117"/>
      <c r="AD43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43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1.9550342130987293</v>
      </c>
      <c r="AF43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3.8371623417050627</v>
      </c>
      <c r="AG43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7.5386293550197685</v>
      </c>
      <c r="AH436"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55.594611762682668</v>
      </c>
      <c r="AI436"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4.292694554608957</v>
      </c>
      <c r="AJ436" s="10">
        <f t="shared" si="31"/>
        <v>13.33082590982356</v>
      </c>
      <c r="AK436" s="10">
        <f t="shared" si="35"/>
        <v>59.887306317291625</v>
      </c>
      <c r="AL436" s="10">
        <f t="shared" si="32"/>
        <v>73.218132227115177</v>
      </c>
      <c r="AM436" s="6"/>
    </row>
    <row r="437" spans="1:39" ht="31.5" customHeight="1">
      <c r="A437" s="40" t="s">
        <v>38</v>
      </c>
      <c r="B437" s="40" t="s">
        <v>24</v>
      </c>
      <c r="C437" s="26" t="s">
        <v>953</v>
      </c>
      <c r="D437" s="26" t="s">
        <v>957</v>
      </c>
      <c r="E437" s="27"/>
      <c r="F437" s="26"/>
      <c r="G437" s="28"/>
      <c r="H437" s="64" t="s">
        <v>24</v>
      </c>
      <c r="I437" s="66" t="s">
        <v>15</v>
      </c>
      <c r="J437" s="51" t="s">
        <v>8</v>
      </c>
      <c r="K437" s="112" t="s">
        <v>282</v>
      </c>
      <c r="L437" s="51" t="s">
        <v>1000</v>
      </c>
      <c r="M437" s="75" t="s">
        <v>1148</v>
      </c>
      <c r="N437" s="75" t="s">
        <v>1149</v>
      </c>
      <c r="O437" s="104">
        <v>292</v>
      </c>
      <c r="P437" s="29"/>
      <c r="Q437" s="251">
        <v>25</v>
      </c>
      <c r="R437" s="104">
        <v>66</v>
      </c>
      <c r="S437" s="104">
        <v>52</v>
      </c>
      <c r="T437" s="104">
        <v>46</v>
      </c>
      <c r="U437" s="104">
        <v>95</v>
      </c>
      <c r="V437" s="104">
        <v>8</v>
      </c>
      <c r="W437" s="57" t="s">
        <v>13</v>
      </c>
      <c r="X437" s="120" t="s">
        <v>12</v>
      </c>
      <c r="Y437" s="88" t="s">
        <v>249</v>
      </c>
      <c r="Z437" s="306" t="s">
        <v>1072</v>
      </c>
      <c r="AA437" s="243" t="s">
        <v>1312</v>
      </c>
      <c r="AB437" s="26"/>
      <c r="AC437" s="117"/>
      <c r="AD43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25</v>
      </c>
      <c r="AE43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64.516129032258064</v>
      </c>
      <c r="AF43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49.883110442165815</v>
      </c>
      <c r="AG43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43.34711879136367</v>
      </c>
      <c r="AH437"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88.024801957580891</v>
      </c>
      <c r="AI437"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6.8683112873743308</v>
      </c>
      <c r="AJ437" s="10">
        <f t="shared" si="31"/>
        <v>182.74635826578756</v>
      </c>
      <c r="AK437" s="10">
        <f t="shared" si="35"/>
        <v>94.893113244955217</v>
      </c>
      <c r="AL437" s="10">
        <f t="shared" si="32"/>
        <v>252.63947151074279</v>
      </c>
      <c r="AM437" s="6"/>
    </row>
    <row r="438" spans="1:39" ht="31.5" customHeight="1">
      <c r="A438" s="40" t="s">
        <v>38</v>
      </c>
      <c r="B438" s="40" t="s">
        <v>24</v>
      </c>
      <c r="C438" s="26" t="s">
        <v>953</v>
      </c>
      <c r="D438" s="26" t="s">
        <v>960</v>
      </c>
      <c r="E438" s="27"/>
      <c r="F438" s="26"/>
      <c r="G438" s="28"/>
      <c r="H438" s="64" t="s">
        <v>24</v>
      </c>
      <c r="I438" s="66" t="s">
        <v>15</v>
      </c>
      <c r="J438" s="51" t="s">
        <v>8</v>
      </c>
      <c r="K438" s="112" t="s">
        <v>282</v>
      </c>
      <c r="L438" s="51" t="s">
        <v>1000</v>
      </c>
      <c r="M438" s="75" t="s">
        <v>1148</v>
      </c>
      <c r="N438" s="75" t="s">
        <v>1149</v>
      </c>
      <c r="O438" s="104">
        <v>108</v>
      </c>
      <c r="P438" s="29"/>
      <c r="Q438" s="251"/>
      <c r="R438" s="104">
        <v>19</v>
      </c>
      <c r="S438" s="104">
        <v>26</v>
      </c>
      <c r="T438" s="104">
        <v>8</v>
      </c>
      <c r="U438" s="104">
        <v>44</v>
      </c>
      <c r="V438" s="104">
        <v>11</v>
      </c>
      <c r="W438" s="57" t="s">
        <v>13</v>
      </c>
      <c r="X438" s="120" t="s">
        <v>12</v>
      </c>
      <c r="Y438" s="88" t="s">
        <v>249</v>
      </c>
      <c r="Z438" s="306" t="s">
        <v>1072</v>
      </c>
      <c r="AA438" s="243" t="s">
        <v>1312</v>
      </c>
      <c r="AB438" s="26"/>
      <c r="AC438" s="117"/>
      <c r="AD43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43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18.572825024437929</v>
      </c>
      <c r="AF43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24.941555221082908</v>
      </c>
      <c r="AG43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7.5386293550197685</v>
      </c>
      <c r="AH438"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40.769381959300624</v>
      </c>
      <c r="AI438"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9.4439280201397047</v>
      </c>
      <c r="AJ438" s="10">
        <f t="shared" si="31"/>
        <v>51.053009600540605</v>
      </c>
      <c r="AK438" s="10">
        <f t="shared" si="35"/>
        <v>50.213309979440325</v>
      </c>
      <c r="AL438" s="10">
        <f t="shared" si="32"/>
        <v>101.26631957998093</v>
      </c>
      <c r="AM438" s="6"/>
    </row>
    <row r="439" spans="1:39" ht="31.5" customHeight="1">
      <c r="A439" s="40" t="s">
        <v>38</v>
      </c>
      <c r="B439" s="40" t="s">
        <v>24</v>
      </c>
      <c r="C439" s="26" t="s">
        <v>933</v>
      </c>
      <c r="D439" s="26"/>
      <c r="E439" s="27"/>
      <c r="F439" s="26" t="s">
        <v>934</v>
      </c>
      <c r="G439" s="28"/>
      <c r="H439" s="64" t="s">
        <v>24</v>
      </c>
      <c r="I439" s="66" t="s">
        <v>15</v>
      </c>
      <c r="J439" s="51" t="s">
        <v>8</v>
      </c>
      <c r="K439" s="112" t="s">
        <v>282</v>
      </c>
      <c r="L439" s="51" t="s">
        <v>1054</v>
      </c>
      <c r="M439" s="86">
        <v>2010</v>
      </c>
      <c r="N439" s="86">
        <v>2014</v>
      </c>
      <c r="O439" s="104">
        <v>329</v>
      </c>
      <c r="P439" s="29"/>
      <c r="Q439" s="251">
        <v>90</v>
      </c>
      <c r="R439" s="104">
        <v>80</v>
      </c>
      <c r="S439" s="104">
        <v>125</v>
      </c>
      <c r="T439" s="104">
        <v>16</v>
      </c>
      <c r="U439" s="104">
        <v>18</v>
      </c>
      <c r="V439" s="104"/>
      <c r="W439" s="57" t="s">
        <v>13</v>
      </c>
      <c r="X439" s="120" t="s">
        <v>12</v>
      </c>
      <c r="Y439" s="88" t="s">
        <v>249</v>
      </c>
      <c r="Z439" s="306" t="s">
        <v>1072</v>
      </c>
      <c r="AA439" s="243" t="s">
        <v>1312</v>
      </c>
      <c r="AB439" s="26"/>
      <c r="AC439" s="117" t="s">
        <v>10</v>
      </c>
      <c r="AD43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90</v>
      </c>
      <c r="AE43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78.201368523949171</v>
      </c>
      <c r="AF43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119.91132317828321</v>
      </c>
      <c r="AG43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15.077258710039537</v>
      </c>
      <c r="AH439"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16.678383528804801</v>
      </c>
      <c r="AI439"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39" s="10">
        <f t="shared" si="31"/>
        <v>303.18995041227191</v>
      </c>
      <c r="AK439" s="10">
        <f t="shared" si="35"/>
        <v>16.678383528804801</v>
      </c>
      <c r="AL439" s="10">
        <f t="shared" si="32"/>
        <v>229.86833394107668</v>
      </c>
      <c r="AM439" s="6"/>
    </row>
    <row r="440" spans="1:39" ht="31.5" customHeight="1">
      <c r="A440" s="40" t="s">
        <v>38</v>
      </c>
      <c r="B440" s="40" t="s">
        <v>24</v>
      </c>
      <c r="C440" s="26" t="s">
        <v>933</v>
      </c>
      <c r="D440" s="26"/>
      <c r="E440" s="27"/>
      <c r="F440" s="26" t="s">
        <v>935</v>
      </c>
      <c r="G440" s="28"/>
      <c r="H440" s="64" t="s">
        <v>24</v>
      </c>
      <c r="I440" s="66" t="s">
        <v>15</v>
      </c>
      <c r="J440" s="51" t="s">
        <v>8</v>
      </c>
      <c r="K440" s="112" t="s">
        <v>282</v>
      </c>
      <c r="L440" s="51" t="s">
        <v>1054</v>
      </c>
      <c r="M440" s="86">
        <v>2010</v>
      </c>
      <c r="N440" s="86">
        <v>2020</v>
      </c>
      <c r="O440" s="104">
        <v>728</v>
      </c>
      <c r="P440" s="29"/>
      <c r="Q440" s="251">
        <v>1</v>
      </c>
      <c r="R440" s="104">
        <v>2</v>
      </c>
      <c r="S440" s="104">
        <v>8</v>
      </c>
      <c r="T440" s="104">
        <v>22</v>
      </c>
      <c r="U440" s="104">
        <v>513</v>
      </c>
      <c r="V440" s="104">
        <v>182</v>
      </c>
      <c r="W440" s="57" t="s">
        <v>13</v>
      </c>
      <c r="X440" s="120" t="s">
        <v>12</v>
      </c>
      <c r="Y440" s="88" t="s">
        <v>249</v>
      </c>
      <c r="Z440" s="306" t="s">
        <v>1072</v>
      </c>
      <c r="AA440" s="243" t="s">
        <v>1312</v>
      </c>
      <c r="AB440" s="26"/>
      <c r="AC440" s="117" t="s">
        <v>10</v>
      </c>
      <c r="AD44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v>
      </c>
      <c r="AE44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1.9550342130987293</v>
      </c>
      <c r="AF44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7.6743246834101253</v>
      </c>
      <c r="AG44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20.731230726304361</v>
      </c>
      <c r="AH440"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475.33393057093679</v>
      </c>
      <c r="AI440"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156.25408178776604</v>
      </c>
      <c r="AJ440" s="10">
        <f t="shared" si="31"/>
        <v>31.360589622813215</v>
      </c>
      <c r="AK440" s="10">
        <f t="shared" si="35"/>
        <v>631.58801235870283</v>
      </c>
      <c r="AL440" s="10">
        <f t="shared" si="32"/>
        <v>661.94860198151605</v>
      </c>
      <c r="AM440" s="6"/>
    </row>
    <row r="441" spans="1:39" ht="31.5" customHeight="1">
      <c r="A441" s="40" t="s">
        <v>38</v>
      </c>
      <c r="B441" s="40" t="s">
        <v>24</v>
      </c>
      <c r="C441" s="26" t="s">
        <v>933</v>
      </c>
      <c r="D441" s="26"/>
      <c r="E441" s="27"/>
      <c r="F441" s="26" t="s">
        <v>936</v>
      </c>
      <c r="G441" s="28"/>
      <c r="H441" s="64" t="s">
        <v>24</v>
      </c>
      <c r="I441" s="66" t="s">
        <v>15</v>
      </c>
      <c r="J441" s="51" t="s">
        <v>8</v>
      </c>
      <c r="K441" s="112" t="s">
        <v>282</v>
      </c>
      <c r="L441" s="51" t="s">
        <v>444</v>
      </c>
      <c r="M441" s="86">
        <v>2015</v>
      </c>
      <c r="N441" s="86">
        <v>2020</v>
      </c>
      <c r="O441" s="104">
        <v>1009</v>
      </c>
      <c r="P441" s="29"/>
      <c r="Q441" s="251"/>
      <c r="R441" s="104">
        <v>25</v>
      </c>
      <c r="S441" s="104">
        <v>87</v>
      </c>
      <c r="T441" s="104">
        <v>88</v>
      </c>
      <c r="U441" s="104">
        <v>809</v>
      </c>
      <c r="V441" s="104"/>
      <c r="W441" s="57" t="s">
        <v>13</v>
      </c>
      <c r="X441" s="120" t="s">
        <v>12</v>
      </c>
      <c r="Y441" s="88" t="s">
        <v>249</v>
      </c>
      <c r="Z441" s="306" t="s">
        <v>1072</v>
      </c>
      <c r="AA441" s="243" t="s">
        <v>1312</v>
      </c>
      <c r="AB441" s="26"/>
      <c r="AC441" s="117" t="s">
        <v>10</v>
      </c>
      <c r="AD44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44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24.437927663734115</v>
      </c>
      <c r="AF44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83.458280932085117</v>
      </c>
      <c r="AG44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82.924922905217443</v>
      </c>
      <c r="AH441"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749.60068193350457</v>
      </c>
      <c r="AI441"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41" s="10">
        <f t="shared" si="31"/>
        <v>190.82113150103669</v>
      </c>
      <c r="AK441" s="10">
        <f t="shared" si="35"/>
        <v>749.60068193350457</v>
      </c>
      <c r="AL441" s="10">
        <f t="shared" si="32"/>
        <v>940.42181343454126</v>
      </c>
      <c r="AM441" s="6"/>
    </row>
    <row r="442" spans="1:39" ht="31.5" customHeight="1">
      <c r="A442" s="40" t="s">
        <v>38</v>
      </c>
      <c r="B442" s="40" t="s">
        <v>24</v>
      </c>
      <c r="C442" s="26" t="s">
        <v>933</v>
      </c>
      <c r="D442" s="26"/>
      <c r="E442" s="27"/>
      <c r="F442" s="26" t="s">
        <v>937</v>
      </c>
      <c r="G442" s="28"/>
      <c r="H442" s="64" t="s">
        <v>24</v>
      </c>
      <c r="I442" s="66" t="s">
        <v>15</v>
      </c>
      <c r="J442" s="51" t="s">
        <v>8</v>
      </c>
      <c r="K442" s="112" t="s">
        <v>282</v>
      </c>
      <c r="L442" s="51" t="s">
        <v>1054</v>
      </c>
      <c r="M442" s="86">
        <v>2010</v>
      </c>
      <c r="N442" s="86">
        <v>2018</v>
      </c>
      <c r="O442" s="104">
        <v>2737</v>
      </c>
      <c r="P442" s="29"/>
      <c r="Q442" s="251">
        <v>592</v>
      </c>
      <c r="R442" s="104">
        <v>637</v>
      </c>
      <c r="S442" s="104">
        <v>611</v>
      </c>
      <c r="T442" s="104">
        <v>379</v>
      </c>
      <c r="U442" s="104">
        <v>518</v>
      </c>
      <c r="V442" s="104"/>
      <c r="W442" s="57" t="s">
        <v>13</v>
      </c>
      <c r="X442" s="120" t="s">
        <v>12</v>
      </c>
      <c r="Y442" s="88" t="s">
        <v>249</v>
      </c>
      <c r="Z442" s="306" t="s">
        <v>1072</v>
      </c>
      <c r="AA442" s="243" t="s">
        <v>1312</v>
      </c>
      <c r="AB442" s="26"/>
      <c r="AC442" s="117" t="s">
        <v>10</v>
      </c>
      <c r="AD44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592</v>
      </c>
      <c r="AE44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622.67839687194532</v>
      </c>
      <c r="AF44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586.12654769544827</v>
      </c>
      <c r="AG44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357.14256569406155</v>
      </c>
      <c r="AH442"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479.96681488449366</v>
      </c>
      <c r="AI442"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42" s="10">
        <f t="shared" si="31"/>
        <v>2157.9475102614551</v>
      </c>
      <c r="AK442" s="10">
        <f t="shared" si="35"/>
        <v>479.96681488449366</v>
      </c>
      <c r="AL442" s="10">
        <f t="shared" si="32"/>
        <v>2045.9143251459486</v>
      </c>
      <c r="AM442" s="6"/>
    </row>
    <row r="443" spans="1:39" ht="31.5" customHeight="1">
      <c r="A443" s="40" t="s">
        <v>38</v>
      </c>
      <c r="B443" s="40" t="s">
        <v>24</v>
      </c>
      <c r="C443" s="26" t="s">
        <v>933</v>
      </c>
      <c r="D443" s="26" t="s">
        <v>938</v>
      </c>
      <c r="E443" s="27"/>
      <c r="F443" s="26"/>
      <c r="G443" s="28"/>
      <c r="H443" s="64" t="s">
        <v>24</v>
      </c>
      <c r="I443" s="66" t="s">
        <v>15</v>
      </c>
      <c r="J443" s="51" t="s">
        <v>8</v>
      </c>
      <c r="K443" s="112" t="s">
        <v>282</v>
      </c>
      <c r="L443" s="51" t="s">
        <v>1000</v>
      </c>
      <c r="M443" s="75">
        <v>2010</v>
      </c>
      <c r="N443" s="75" t="s">
        <v>1119</v>
      </c>
      <c r="O443" s="104">
        <v>2998</v>
      </c>
      <c r="P443" s="29"/>
      <c r="Q443" s="251"/>
      <c r="R443" s="104">
        <v>25</v>
      </c>
      <c r="S443" s="104">
        <v>49</v>
      </c>
      <c r="T443" s="104">
        <v>92</v>
      </c>
      <c r="U443" s="104">
        <v>2246</v>
      </c>
      <c r="V443" s="104">
        <v>586</v>
      </c>
      <c r="W443" s="57" t="s">
        <v>13</v>
      </c>
      <c r="X443" s="120" t="s">
        <v>12</v>
      </c>
      <c r="Y443" s="88" t="s">
        <v>249</v>
      </c>
      <c r="Z443" s="306" t="s">
        <v>1072</v>
      </c>
      <c r="AA443" s="243" t="s">
        <v>1312</v>
      </c>
      <c r="AB443" s="26"/>
      <c r="AC443" s="117"/>
      <c r="AD44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44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24.437927663734115</v>
      </c>
      <c r="AF44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47.005238685887015</v>
      </c>
      <c r="AG44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86.694237582727339</v>
      </c>
      <c r="AH443"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2081.0916336497544</v>
      </c>
      <c r="AI443"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503.10380180016972</v>
      </c>
      <c r="AJ443" s="10">
        <f t="shared" si="31"/>
        <v>158.13740393234846</v>
      </c>
      <c r="AK443" s="10">
        <f t="shared" si="35"/>
        <v>2584.1954354499239</v>
      </c>
      <c r="AL443" s="10">
        <f t="shared" si="32"/>
        <v>2742.3328393822726</v>
      </c>
      <c r="AM443" s="6"/>
    </row>
    <row r="444" spans="1:39" ht="31.5" customHeight="1">
      <c r="A444" s="40" t="s">
        <v>38</v>
      </c>
      <c r="B444" s="40" t="s">
        <v>24</v>
      </c>
      <c r="C444" s="26" t="s">
        <v>1198</v>
      </c>
      <c r="D444" s="26" t="s">
        <v>1199</v>
      </c>
      <c r="E444" s="27"/>
      <c r="F444" s="26"/>
      <c r="G444" s="28"/>
      <c r="H444" s="64" t="s">
        <v>24</v>
      </c>
      <c r="I444" s="66" t="s">
        <v>15</v>
      </c>
      <c r="J444" s="51" t="s">
        <v>8</v>
      </c>
      <c r="K444" s="112" t="s">
        <v>282</v>
      </c>
      <c r="L444" s="51" t="s">
        <v>1000</v>
      </c>
      <c r="M444" s="75">
        <v>2010</v>
      </c>
      <c r="N444" s="75" t="s">
        <v>1149</v>
      </c>
      <c r="O444" s="104">
        <v>3793</v>
      </c>
      <c r="P444" s="29"/>
      <c r="Q444" s="251">
        <v>348</v>
      </c>
      <c r="R444" s="104">
        <v>492</v>
      </c>
      <c r="S444" s="104">
        <v>420</v>
      </c>
      <c r="T444" s="104">
        <v>372</v>
      </c>
      <c r="U444" s="104">
        <v>1743</v>
      </c>
      <c r="V444" s="104">
        <v>418</v>
      </c>
      <c r="W444" s="57" t="s">
        <v>13</v>
      </c>
      <c r="X444" s="120" t="s">
        <v>12</v>
      </c>
      <c r="Y444" s="88" t="s">
        <v>249</v>
      </c>
      <c r="Z444" s="306" t="s">
        <v>1072</v>
      </c>
      <c r="AA444" s="243" t="s">
        <v>1312</v>
      </c>
      <c r="AB444" s="26"/>
      <c r="AC444" s="117"/>
      <c r="AD44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348</v>
      </c>
      <c r="AE44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480.93841642228739</v>
      </c>
      <c r="AF44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402.90204587903156</v>
      </c>
      <c r="AG44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350.5462650084192</v>
      </c>
      <c r="AH444"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1615.0234717059313</v>
      </c>
      <c r="AI444"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358.8692647653088</v>
      </c>
      <c r="AJ444" s="10">
        <f t="shared" si="31"/>
        <v>1582.386727309738</v>
      </c>
      <c r="AK444" s="10">
        <f t="shared" si="35"/>
        <v>1973.8927364712401</v>
      </c>
      <c r="AL444" s="10">
        <f t="shared" si="32"/>
        <v>3208.2794637809784</v>
      </c>
      <c r="AM444" s="6"/>
    </row>
    <row r="445" spans="1:39" ht="31.5" customHeight="1">
      <c r="A445" s="40" t="s">
        <v>38</v>
      </c>
      <c r="B445" s="40" t="s">
        <v>24</v>
      </c>
      <c r="C445" s="26" t="s">
        <v>933</v>
      </c>
      <c r="D445" s="26" t="s">
        <v>939</v>
      </c>
      <c r="E445" s="27"/>
      <c r="F445" s="26"/>
      <c r="G445" s="28"/>
      <c r="H445" s="64" t="s">
        <v>24</v>
      </c>
      <c r="I445" s="66" t="s">
        <v>15</v>
      </c>
      <c r="J445" s="51" t="s">
        <v>8</v>
      </c>
      <c r="K445" s="112" t="s">
        <v>282</v>
      </c>
      <c r="L445" s="51" t="s">
        <v>1000</v>
      </c>
      <c r="M445" s="75">
        <v>2010</v>
      </c>
      <c r="N445" s="75">
        <v>2015</v>
      </c>
      <c r="O445" s="104">
        <v>265</v>
      </c>
      <c r="P445" s="29"/>
      <c r="Q445" s="251">
        <v>26</v>
      </c>
      <c r="R445" s="104">
        <v>88</v>
      </c>
      <c r="S445" s="104">
        <v>151</v>
      </c>
      <c r="T445" s="104"/>
      <c r="U445" s="104"/>
      <c r="V445" s="104"/>
      <c r="W445" s="57" t="s">
        <v>13</v>
      </c>
      <c r="X445" s="120" t="s">
        <v>12</v>
      </c>
      <c r="Y445" s="88" t="s">
        <v>249</v>
      </c>
      <c r="Z445" s="306" t="s">
        <v>1072</v>
      </c>
      <c r="AA445" s="243" t="s">
        <v>1312</v>
      </c>
      <c r="AB445" s="26"/>
      <c r="AC445" s="117"/>
      <c r="AD44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26</v>
      </c>
      <c r="AE44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86.021505376344095</v>
      </c>
      <c r="AF44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144.85287839936612</v>
      </c>
      <c r="AG44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445"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445"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45" s="10">
        <f t="shared" si="31"/>
        <v>256.87438377571021</v>
      </c>
      <c r="AK445" s="10">
        <f t="shared" si="35"/>
        <v>0</v>
      </c>
      <c r="AL445" s="10">
        <f t="shared" si="32"/>
        <v>230.87438377571021</v>
      </c>
      <c r="AM445" s="6"/>
    </row>
    <row r="446" spans="1:39" ht="31.5" customHeight="1">
      <c r="A446" s="40" t="s">
        <v>38</v>
      </c>
      <c r="B446" s="40" t="s">
        <v>24</v>
      </c>
      <c r="C446" s="26" t="s">
        <v>965</v>
      </c>
      <c r="D446" s="26"/>
      <c r="E446" s="27"/>
      <c r="F446" s="26" t="s">
        <v>966</v>
      </c>
      <c r="G446" s="28"/>
      <c r="H446" s="64" t="s">
        <v>24</v>
      </c>
      <c r="I446" s="66" t="s">
        <v>15</v>
      </c>
      <c r="J446" s="51" t="s">
        <v>8</v>
      </c>
      <c r="K446" s="112" t="s">
        <v>282</v>
      </c>
      <c r="L446" s="51" t="s">
        <v>1054</v>
      </c>
      <c r="M446" s="86">
        <v>2010</v>
      </c>
      <c r="N446" s="86">
        <v>2015</v>
      </c>
      <c r="O446" s="104">
        <v>14</v>
      </c>
      <c r="P446" s="29"/>
      <c r="Q446" s="251"/>
      <c r="R446" s="104">
        <v>11</v>
      </c>
      <c r="S446" s="104">
        <v>3</v>
      </c>
      <c r="T446" s="104"/>
      <c r="U446" s="104"/>
      <c r="V446" s="104"/>
      <c r="W446" s="57" t="s">
        <v>13</v>
      </c>
      <c r="X446" s="120" t="s">
        <v>12</v>
      </c>
      <c r="Y446" s="88" t="s">
        <v>249</v>
      </c>
      <c r="Z446" s="306" t="s">
        <v>1072</v>
      </c>
      <c r="AA446" s="243" t="s">
        <v>1312</v>
      </c>
      <c r="AB446" s="26"/>
      <c r="AC446" s="117"/>
      <c r="AD44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44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10.752688172043012</v>
      </c>
      <c r="AF44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2.8778717562787968</v>
      </c>
      <c r="AG44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446"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446"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46" s="32">
        <f t="shared" si="31"/>
        <v>13.630559928321809</v>
      </c>
      <c r="AK446" s="32">
        <f t="shared" si="35"/>
        <v>0</v>
      </c>
      <c r="AL446" s="32">
        <f t="shared" si="32"/>
        <v>13.630559928321809</v>
      </c>
      <c r="AM446" s="6"/>
    </row>
    <row r="447" spans="1:39" ht="31.5" customHeight="1">
      <c r="A447" s="40" t="s">
        <v>38</v>
      </c>
      <c r="B447" s="40" t="s">
        <v>24</v>
      </c>
      <c r="C447" s="26" t="s">
        <v>965</v>
      </c>
      <c r="D447" s="26"/>
      <c r="E447" s="27"/>
      <c r="F447" s="26" t="s">
        <v>967</v>
      </c>
      <c r="G447" s="28"/>
      <c r="H447" s="64" t="s">
        <v>24</v>
      </c>
      <c r="I447" s="66" t="s">
        <v>15</v>
      </c>
      <c r="J447" s="51" t="s">
        <v>8</v>
      </c>
      <c r="K447" s="112" t="s">
        <v>282</v>
      </c>
      <c r="L447" s="51" t="s">
        <v>1054</v>
      </c>
      <c r="M447" s="86">
        <v>2010</v>
      </c>
      <c r="N447" s="86">
        <v>2015</v>
      </c>
      <c r="O447" s="104">
        <v>9</v>
      </c>
      <c r="P447" s="29"/>
      <c r="Q447" s="251"/>
      <c r="R447" s="104">
        <v>3</v>
      </c>
      <c r="S447" s="104">
        <v>6</v>
      </c>
      <c r="T447" s="104"/>
      <c r="U447" s="104"/>
      <c r="V447" s="104"/>
      <c r="W447" s="57" t="s">
        <v>13</v>
      </c>
      <c r="X447" s="120" t="s">
        <v>12</v>
      </c>
      <c r="Y447" s="88" t="s">
        <v>249</v>
      </c>
      <c r="Z447" s="306" t="s">
        <v>1072</v>
      </c>
      <c r="AA447" s="243" t="s">
        <v>1312</v>
      </c>
      <c r="AB447" s="26"/>
      <c r="AC447" s="117"/>
      <c r="AD44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44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2.9325513196480939</v>
      </c>
      <c r="AF44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5.7557435125575935</v>
      </c>
      <c r="AG44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447"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447"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47" s="10">
        <f t="shared" si="31"/>
        <v>8.6882948322056883</v>
      </c>
      <c r="AK447" s="10">
        <f t="shared" si="35"/>
        <v>0</v>
      </c>
      <c r="AL447" s="10">
        <f t="shared" si="32"/>
        <v>8.6882948322056883</v>
      </c>
      <c r="AM447" s="6"/>
    </row>
    <row r="448" spans="1:39" ht="31.5" customHeight="1">
      <c r="A448" s="25" t="s">
        <v>38</v>
      </c>
      <c r="B448" s="18" t="s">
        <v>878</v>
      </c>
      <c r="C448" s="26" t="s">
        <v>877</v>
      </c>
      <c r="D448" s="26"/>
      <c r="E448" s="27"/>
      <c r="F448" s="26" t="s">
        <v>195</v>
      </c>
      <c r="G448" s="28" t="s">
        <v>879</v>
      </c>
      <c r="H448" s="64" t="s">
        <v>16</v>
      </c>
      <c r="I448" s="66" t="s">
        <v>7</v>
      </c>
      <c r="J448" s="51" t="s">
        <v>8</v>
      </c>
      <c r="K448" s="109" t="s">
        <v>7</v>
      </c>
      <c r="L448" s="64" t="s">
        <v>449</v>
      </c>
      <c r="M448" s="55">
        <v>2018</v>
      </c>
      <c r="N448" s="55">
        <v>2019</v>
      </c>
      <c r="O448" s="104">
        <v>600</v>
      </c>
      <c r="P448" s="29"/>
      <c r="Q448" s="251"/>
      <c r="R448" s="104"/>
      <c r="S448" s="104"/>
      <c r="T448" s="104"/>
      <c r="U448" s="104"/>
      <c r="V448" s="186"/>
      <c r="W448" s="57" t="s">
        <v>13</v>
      </c>
      <c r="X448" s="111" t="s">
        <v>12</v>
      </c>
      <c r="Y448" s="88"/>
      <c r="Z448" s="292" t="s">
        <v>1082</v>
      </c>
      <c r="AA448" s="26" t="s">
        <v>199</v>
      </c>
      <c r="AB448" s="26" t="s">
        <v>882</v>
      </c>
      <c r="AC448" s="117" t="s">
        <v>10</v>
      </c>
      <c r="AD44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44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44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44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448"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448"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48" s="10">
        <f t="shared" si="31"/>
        <v>0</v>
      </c>
      <c r="AK448" s="10">
        <f t="shared" si="35"/>
        <v>0</v>
      </c>
      <c r="AL448" s="10">
        <f t="shared" si="32"/>
        <v>0</v>
      </c>
      <c r="AM448" s="6"/>
    </row>
    <row r="449" spans="1:39" ht="31.5" customHeight="1">
      <c r="A449" s="25" t="s">
        <v>38</v>
      </c>
      <c r="B449" s="18" t="s">
        <v>878</v>
      </c>
      <c r="C449" s="26" t="s">
        <v>877</v>
      </c>
      <c r="D449" s="26"/>
      <c r="E449" s="27"/>
      <c r="F449" s="26" t="s">
        <v>876</v>
      </c>
      <c r="G449" s="28" t="s">
        <v>880</v>
      </c>
      <c r="H449" s="64" t="s">
        <v>26</v>
      </c>
      <c r="I449" s="66" t="s">
        <v>7</v>
      </c>
      <c r="J449" s="51" t="s">
        <v>8</v>
      </c>
      <c r="K449" s="109" t="s">
        <v>7</v>
      </c>
      <c r="L449" s="64" t="s">
        <v>444</v>
      </c>
      <c r="M449" s="55">
        <v>2014</v>
      </c>
      <c r="N449" s="55">
        <v>2019</v>
      </c>
      <c r="O449" s="104">
        <v>300</v>
      </c>
      <c r="P449" s="29"/>
      <c r="Q449" s="251"/>
      <c r="R449" s="104"/>
      <c r="S449" s="104"/>
      <c r="T449" s="104"/>
      <c r="U449" s="104"/>
      <c r="V449" s="186"/>
      <c r="W449" s="57" t="s">
        <v>13</v>
      </c>
      <c r="X449" s="111" t="s">
        <v>12</v>
      </c>
      <c r="Y449" s="88"/>
      <c r="Z449" s="292" t="s">
        <v>1083</v>
      </c>
      <c r="AA449" s="26" t="s">
        <v>199</v>
      </c>
      <c r="AB449" s="26" t="s">
        <v>885</v>
      </c>
      <c r="AC449" s="117" t="s">
        <v>10</v>
      </c>
      <c r="AD44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44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44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44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449"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449"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49" s="10">
        <f t="shared" si="31"/>
        <v>0</v>
      </c>
      <c r="AK449" s="10">
        <f t="shared" si="35"/>
        <v>0</v>
      </c>
      <c r="AL449" s="10">
        <f t="shared" si="32"/>
        <v>0</v>
      </c>
      <c r="AM449" s="6"/>
    </row>
    <row r="450" spans="1:39" ht="31.5" customHeight="1">
      <c r="A450" s="25" t="s">
        <v>38</v>
      </c>
      <c r="B450" s="18" t="s">
        <v>878</v>
      </c>
      <c r="C450" s="26" t="s">
        <v>877</v>
      </c>
      <c r="D450" s="26"/>
      <c r="E450" s="27"/>
      <c r="F450" s="26" t="s">
        <v>795</v>
      </c>
      <c r="G450" s="28" t="s">
        <v>879</v>
      </c>
      <c r="H450" s="64" t="s">
        <v>21</v>
      </c>
      <c r="I450" s="66" t="s">
        <v>7</v>
      </c>
      <c r="J450" s="51" t="s">
        <v>8</v>
      </c>
      <c r="K450" s="109" t="s">
        <v>7</v>
      </c>
      <c r="L450" s="64" t="s">
        <v>444</v>
      </c>
      <c r="M450" s="55">
        <v>2016</v>
      </c>
      <c r="N450" s="55">
        <v>2018</v>
      </c>
      <c r="O450" s="104">
        <v>300</v>
      </c>
      <c r="P450" s="29">
        <v>35</v>
      </c>
      <c r="Q450" s="251"/>
      <c r="R450" s="104"/>
      <c r="S450" s="104"/>
      <c r="T450" s="104"/>
      <c r="U450" s="104"/>
      <c r="V450" s="186"/>
      <c r="W450" s="57" t="s">
        <v>13</v>
      </c>
      <c r="X450" s="111" t="s">
        <v>12</v>
      </c>
      <c r="Y450" s="88"/>
      <c r="Z450" s="292" t="s">
        <v>1084</v>
      </c>
      <c r="AA450" s="26" t="s">
        <v>199</v>
      </c>
      <c r="AB450" s="26" t="s">
        <v>881</v>
      </c>
      <c r="AC450" s="117" t="s">
        <v>10</v>
      </c>
      <c r="AD45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45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45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45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450"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450"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50" s="10">
        <f t="shared" ref="AJ450:AJ513" si="36">SUM(AD450:AG450)</f>
        <v>0</v>
      </c>
      <c r="AK450" s="10">
        <f t="shared" si="35"/>
        <v>0</v>
      </c>
      <c r="AL450" s="10">
        <f t="shared" ref="AL450:AL513" si="37">+AJ450+AK450-AD450</f>
        <v>0</v>
      </c>
      <c r="AM450" s="6"/>
    </row>
    <row r="451" spans="1:39" ht="31.5" customHeight="1">
      <c r="A451" s="25" t="s">
        <v>38</v>
      </c>
      <c r="B451" s="18" t="s">
        <v>878</v>
      </c>
      <c r="C451" s="26" t="s">
        <v>877</v>
      </c>
      <c r="D451" s="26"/>
      <c r="E451" s="27"/>
      <c r="F451" s="26" t="s">
        <v>797</v>
      </c>
      <c r="G451" s="28" t="s">
        <v>879</v>
      </c>
      <c r="H451" s="64" t="s">
        <v>25</v>
      </c>
      <c r="I451" s="66" t="s">
        <v>7</v>
      </c>
      <c r="J451" s="51" t="s">
        <v>8</v>
      </c>
      <c r="K451" s="109" t="s">
        <v>7</v>
      </c>
      <c r="L451" s="64" t="s">
        <v>1054</v>
      </c>
      <c r="M451" s="55">
        <v>2012</v>
      </c>
      <c r="N451" s="55">
        <v>2019</v>
      </c>
      <c r="O451" s="104">
        <v>150</v>
      </c>
      <c r="P451" s="29"/>
      <c r="Q451" s="251"/>
      <c r="R451" s="104"/>
      <c r="S451" s="104"/>
      <c r="T451" s="104"/>
      <c r="U451" s="104"/>
      <c r="V451" s="186"/>
      <c r="W451" s="57" t="s">
        <v>13</v>
      </c>
      <c r="X451" s="111" t="s">
        <v>12</v>
      </c>
      <c r="Y451" s="88"/>
      <c r="Z451" s="292" t="s">
        <v>1085</v>
      </c>
      <c r="AA451" s="26" t="s">
        <v>199</v>
      </c>
      <c r="AB451" s="26" t="s">
        <v>884</v>
      </c>
      <c r="AC451" s="117" t="s">
        <v>10</v>
      </c>
      <c r="AD45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45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45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45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451"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451"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51" s="10">
        <f t="shared" si="36"/>
        <v>0</v>
      </c>
      <c r="AK451" s="10">
        <f t="shared" si="35"/>
        <v>0</v>
      </c>
      <c r="AL451" s="10">
        <f t="shared" si="37"/>
        <v>0</v>
      </c>
      <c r="AM451" s="6"/>
    </row>
    <row r="452" spans="1:39" ht="31.5" customHeight="1">
      <c r="A452" s="25" t="s">
        <v>38</v>
      </c>
      <c r="B452" s="18" t="s">
        <v>878</v>
      </c>
      <c r="C452" s="26" t="s">
        <v>877</v>
      </c>
      <c r="D452" s="26"/>
      <c r="E452" s="27"/>
      <c r="F452" s="26" t="s">
        <v>796</v>
      </c>
      <c r="G452" s="28" t="s">
        <v>879</v>
      </c>
      <c r="H452" s="64" t="s">
        <v>22</v>
      </c>
      <c r="I452" s="66" t="s">
        <v>7</v>
      </c>
      <c r="J452" s="51" t="s">
        <v>8</v>
      </c>
      <c r="K452" s="109" t="s">
        <v>7</v>
      </c>
      <c r="L452" s="64" t="s">
        <v>449</v>
      </c>
      <c r="M452" s="55">
        <v>2013</v>
      </c>
      <c r="N452" s="55">
        <v>2017</v>
      </c>
      <c r="O452" s="104">
        <v>29</v>
      </c>
      <c r="P452" s="29"/>
      <c r="Q452" s="251"/>
      <c r="R452" s="104"/>
      <c r="S452" s="104"/>
      <c r="T452" s="104"/>
      <c r="U452" s="104"/>
      <c r="V452" s="186"/>
      <c r="W452" s="57" t="s">
        <v>13</v>
      </c>
      <c r="X452" s="111" t="s">
        <v>12</v>
      </c>
      <c r="Y452" s="88"/>
      <c r="Z452" s="292" t="s">
        <v>1086</v>
      </c>
      <c r="AA452" s="26" t="s">
        <v>199</v>
      </c>
      <c r="AB452" s="26" t="s">
        <v>883</v>
      </c>
      <c r="AC452" s="117" t="s">
        <v>10</v>
      </c>
      <c r="AD45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45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45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45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452"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452"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52" s="10">
        <f t="shared" si="36"/>
        <v>0</v>
      </c>
      <c r="AK452" s="10">
        <f t="shared" si="35"/>
        <v>0</v>
      </c>
      <c r="AL452" s="10">
        <f t="shared" si="37"/>
        <v>0</v>
      </c>
      <c r="AM452" s="6"/>
    </row>
    <row r="453" spans="1:39" ht="31.5" customHeight="1">
      <c r="A453" s="46" t="s">
        <v>38</v>
      </c>
      <c r="B453" s="46" t="s">
        <v>169</v>
      </c>
      <c r="C453" s="18" t="s">
        <v>176</v>
      </c>
      <c r="D453" s="26" t="s">
        <v>179</v>
      </c>
      <c r="E453" s="91"/>
      <c r="F453" s="47"/>
      <c r="G453" s="42" t="s">
        <v>1038</v>
      </c>
      <c r="H453" s="64" t="s">
        <v>6</v>
      </c>
      <c r="I453" s="53" t="s">
        <v>7</v>
      </c>
      <c r="J453" s="51" t="s">
        <v>10</v>
      </c>
      <c r="K453" s="109" t="s">
        <v>282</v>
      </c>
      <c r="L453" s="51" t="s">
        <v>1000</v>
      </c>
      <c r="M453" s="56">
        <v>2009</v>
      </c>
      <c r="N453" s="56">
        <v>2014</v>
      </c>
      <c r="O453" s="87">
        <v>246</v>
      </c>
      <c r="P453" s="44"/>
      <c r="Q453" s="262">
        <v>18.8</v>
      </c>
      <c r="R453" s="87">
        <v>85.532746823069402</v>
      </c>
      <c r="S453" s="87"/>
      <c r="T453" s="87"/>
      <c r="U453" s="87"/>
      <c r="V453" s="104"/>
      <c r="W453" s="57" t="s">
        <v>13</v>
      </c>
      <c r="X453" s="111" t="s">
        <v>19</v>
      </c>
      <c r="Y453" s="88" t="s">
        <v>249</v>
      </c>
      <c r="Z453" s="304" t="s">
        <v>1073</v>
      </c>
      <c r="AA453" s="43" t="s">
        <v>981</v>
      </c>
      <c r="AB453" s="41"/>
      <c r="AC453" s="117"/>
      <c r="AD45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18.8</v>
      </c>
      <c r="AE45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85.532746823069417</v>
      </c>
      <c r="AF45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45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453"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453"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53" s="10">
        <f t="shared" si="36"/>
        <v>104.33274682306941</v>
      </c>
      <c r="AK453" s="10">
        <f t="shared" si="35"/>
        <v>0</v>
      </c>
      <c r="AL453" s="10">
        <f t="shared" si="37"/>
        <v>85.532746823069417</v>
      </c>
      <c r="AM453" s="6"/>
    </row>
    <row r="454" spans="1:39" ht="31.5" customHeight="1">
      <c r="A454" s="46" t="s">
        <v>38</v>
      </c>
      <c r="B454" s="46" t="s">
        <v>169</v>
      </c>
      <c r="C454" s="18" t="s">
        <v>176</v>
      </c>
      <c r="D454" s="26"/>
      <c r="E454" s="91"/>
      <c r="F454" s="47" t="s">
        <v>900</v>
      </c>
      <c r="G454" s="42" t="s">
        <v>916</v>
      </c>
      <c r="H454" s="64" t="s">
        <v>17</v>
      </c>
      <c r="I454" s="53" t="s">
        <v>7</v>
      </c>
      <c r="J454" s="51" t="s">
        <v>10</v>
      </c>
      <c r="K454" s="109" t="s">
        <v>282</v>
      </c>
      <c r="L454" s="51" t="s">
        <v>444</v>
      </c>
      <c r="M454" s="55" t="s">
        <v>27</v>
      </c>
      <c r="N454" s="55" t="s">
        <v>27</v>
      </c>
      <c r="O454" s="87">
        <v>227.6</v>
      </c>
      <c r="P454" s="44"/>
      <c r="Q454" s="262"/>
      <c r="R454" s="87"/>
      <c r="S454" s="87">
        <v>103.06175879999999</v>
      </c>
      <c r="T454" s="87">
        <v>113.08337039999999</v>
      </c>
      <c r="U454" s="87">
        <v>11.450976075</v>
      </c>
      <c r="V454" s="104"/>
      <c r="W454" s="111" t="s">
        <v>1329</v>
      </c>
      <c r="X454" s="111" t="s">
        <v>19</v>
      </c>
      <c r="Y454" s="88" t="s">
        <v>249</v>
      </c>
      <c r="Z454" s="304" t="s">
        <v>1074</v>
      </c>
      <c r="AA454" s="43" t="s">
        <v>1020</v>
      </c>
      <c r="AB454" s="41" t="s">
        <v>1147</v>
      </c>
      <c r="AC454" s="117"/>
      <c r="AD45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45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45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103.06175879999999</v>
      </c>
      <c r="AG45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113.08337039999998</v>
      </c>
      <c r="AH454"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11.450976074999998</v>
      </c>
      <c r="AI454"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54" s="10">
        <f t="shared" si="36"/>
        <v>216.14512919999999</v>
      </c>
      <c r="AK454" s="10">
        <f t="shared" si="35"/>
        <v>11.450976074999998</v>
      </c>
      <c r="AL454" s="10">
        <f t="shared" si="37"/>
        <v>227.59610527499999</v>
      </c>
      <c r="AM454" s="6"/>
    </row>
    <row r="455" spans="1:39" ht="31.5" customHeight="1">
      <c r="A455" s="46" t="s">
        <v>38</v>
      </c>
      <c r="B455" s="46" t="s">
        <v>169</v>
      </c>
      <c r="C455" s="18" t="s">
        <v>922</v>
      </c>
      <c r="D455" s="26"/>
      <c r="E455" s="91"/>
      <c r="F455" s="47" t="s">
        <v>1005</v>
      </c>
      <c r="G455" s="42" t="s">
        <v>914</v>
      </c>
      <c r="H455" s="64" t="s">
        <v>25</v>
      </c>
      <c r="I455" s="53" t="s">
        <v>7</v>
      </c>
      <c r="J455" s="51" t="s">
        <v>10</v>
      </c>
      <c r="K455" s="109" t="s">
        <v>282</v>
      </c>
      <c r="L455" s="51" t="s">
        <v>444</v>
      </c>
      <c r="M455" s="55" t="s">
        <v>27</v>
      </c>
      <c r="N455" s="55" t="s">
        <v>27</v>
      </c>
      <c r="O455" s="87">
        <v>316.3</v>
      </c>
      <c r="P455" s="44"/>
      <c r="Q455" s="262"/>
      <c r="R455" s="87"/>
      <c r="S455" s="87">
        <v>73.244966024999997</v>
      </c>
      <c r="T455" s="87">
        <v>119.88055464</v>
      </c>
      <c r="U455" s="87">
        <v>123.17636099999999</v>
      </c>
      <c r="V455" s="104"/>
      <c r="W455" s="111" t="s">
        <v>1329</v>
      </c>
      <c r="X455" s="111" t="s">
        <v>19</v>
      </c>
      <c r="Y455" s="88" t="s">
        <v>249</v>
      </c>
      <c r="Z455" s="304" t="s">
        <v>1074</v>
      </c>
      <c r="AA455" s="43" t="s">
        <v>1020</v>
      </c>
      <c r="AB455" s="41" t="s">
        <v>1147</v>
      </c>
      <c r="AC455" s="117" t="s">
        <v>10</v>
      </c>
      <c r="AD45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45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45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73.244966024999997</v>
      </c>
      <c r="AG45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119.88055463999999</v>
      </c>
      <c r="AH455"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123.17636099999999</v>
      </c>
      <c r="AI455"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55" s="10">
        <f t="shared" si="36"/>
        <v>193.12552066499998</v>
      </c>
      <c r="AK455" s="10">
        <f t="shared" si="35"/>
        <v>123.17636099999999</v>
      </c>
      <c r="AL455" s="10">
        <f t="shared" si="37"/>
        <v>316.301881665</v>
      </c>
      <c r="AM455" s="6"/>
    </row>
    <row r="456" spans="1:39" ht="31.5" customHeight="1">
      <c r="A456" s="46" t="s">
        <v>38</v>
      </c>
      <c r="B456" s="46" t="s">
        <v>169</v>
      </c>
      <c r="C456" s="18" t="s">
        <v>922</v>
      </c>
      <c r="D456" s="26"/>
      <c r="E456" s="91"/>
      <c r="F456" s="47" t="s">
        <v>1133</v>
      </c>
      <c r="G456" s="42" t="s">
        <v>917</v>
      </c>
      <c r="H456" s="64" t="s">
        <v>23</v>
      </c>
      <c r="I456" s="53" t="s">
        <v>7</v>
      </c>
      <c r="J456" s="51" t="s">
        <v>10</v>
      </c>
      <c r="K456" s="109" t="s">
        <v>282</v>
      </c>
      <c r="L456" s="51" t="s">
        <v>444</v>
      </c>
      <c r="M456" s="55" t="s">
        <v>27</v>
      </c>
      <c r="N456" s="55" t="s">
        <v>27</v>
      </c>
      <c r="O456" s="87">
        <v>221.52</v>
      </c>
      <c r="P456" s="44"/>
      <c r="Q456" s="262"/>
      <c r="R456" s="87"/>
      <c r="S456" s="87">
        <v>26.367999999999999</v>
      </c>
      <c r="T456" s="87">
        <v>55.002000000000002</v>
      </c>
      <c r="U456" s="87">
        <v>140.15209999999999</v>
      </c>
      <c r="V456" s="104"/>
      <c r="W456" s="111" t="s">
        <v>1329</v>
      </c>
      <c r="X456" s="111" t="s">
        <v>19</v>
      </c>
      <c r="Y456" s="88" t="s">
        <v>249</v>
      </c>
      <c r="Z456" s="304" t="s">
        <v>1074</v>
      </c>
      <c r="AA456" s="43" t="s">
        <v>1020</v>
      </c>
      <c r="AB456" s="41" t="s">
        <v>1147</v>
      </c>
      <c r="AC456" s="117" t="s">
        <v>10</v>
      </c>
      <c r="AD45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45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45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26.367999999999999</v>
      </c>
      <c r="AG45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55.001999999999995</v>
      </c>
      <c r="AH456"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140.15209999999999</v>
      </c>
      <c r="AI456"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56" s="10">
        <f t="shared" si="36"/>
        <v>81.36999999999999</v>
      </c>
      <c r="AK456" s="10">
        <f t="shared" si="35"/>
        <v>140.15209999999999</v>
      </c>
      <c r="AL456" s="10">
        <f t="shared" si="37"/>
        <v>221.52209999999997</v>
      </c>
      <c r="AM456" s="6"/>
    </row>
    <row r="457" spans="1:39" ht="31.5" customHeight="1">
      <c r="A457" s="46" t="s">
        <v>38</v>
      </c>
      <c r="B457" s="46" t="s">
        <v>169</v>
      </c>
      <c r="C457" s="18" t="s">
        <v>922</v>
      </c>
      <c r="D457" s="26"/>
      <c r="E457" s="91"/>
      <c r="F457" s="47" t="s">
        <v>894</v>
      </c>
      <c r="G457" s="42" t="s">
        <v>912</v>
      </c>
      <c r="H457" s="64" t="s">
        <v>16</v>
      </c>
      <c r="I457" s="53" t="s">
        <v>7</v>
      </c>
      <c r="J457" s="51" t="s">
        <v>10</v>
      </c>
      <c r="K457" s="109" t="s">
        <v>282</v>
      </c>
      <c r="L457" s="51" t="s">
        <v>1054</v>
      </c>
      <c r="M457" s="55">
        <v>2012</v>
      </c>
      <c r="N457" s="55">
        <v>2017</v>
      </c>
      <c r="O457" s="87">
        <v>763.47</v>
      </c>
      <c r="P457" s="44"/>
      <c r="Q457" s="262"/>
      <c r="R457" s="87">
        <v>162.69794721407624</v>
      </c>
      <c r="S457" s="87">
        <v>256.07859999999999</v>
      </c>
      <c r="T457" s="87">
        <v>220.6157</v>
      </c>
      <c r="U457" s="87">
        <v>120.3349</v>
      </c>
      <c r="V457" s="104"/>
      <c r="W457" s="111" t="s">
        <v>1329</v>
      </c>
      <c r="X457" s="111" t="s">
        <v>19</v>
      </c>
      <c r="Y457" s="88" t="s">
        <v>249</v>
      </c>
      <c r="Z457" s="304" t="s">
        <v>1074</v>
      </c>
      <c r="AA457" s="43" t="s">
        <v>1020</v>
      </c>
      <c r="AB457" s="41" t="s">
        <v>1147</v>
      </c>
      <c r="AC457" s="117" t="s">
        <v>10</v>
      </c>
      <c r="AD45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45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162.69794721407624</v>
      </c>
      <c r="AF45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256.07859999999999</v>
      </c>
      <c r="AG45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220.6157</v>
      </c>
      <c r="AH457"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120.3349</v>
      </c>
      <c r="AI457"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57" s="10">
        <f t="shared" si="36"/>
        <v>639.39224721407618</v>
      </c>
      <c r="AK457" s="10">
        <f t="shared" si="35"/>
        <v>120.3349</v>
      </c>
      <c r="AL457" s="10">
        <f t="shared" si="37"/>
        <v>759.72714721407624</v>
      </c>
      <c r="AM457" s="6"/>
    </row>
    <row r="458" spans="1:39" ht="31.5" customHeight="1">
      <c r="A458" s="46" t="s">
        <v>38</v>
      </c>
      <c r="B458" s="46" t="s">
        <v>169</v>
      </c>
      <c r="C458" s="18" t="s">
        <v>922</v>
      </c>
      <c r="D458" s="26"/>
      <c r="E458" s="91"/>
      <c r="F458" s="47" t="s">
        <v>895</v>
      </c>
      <c r="G458" s="42" t="s">
        <v>913</v>
      </c>
      <c r="H458" s="64" t="s">
        <v>20</v>
      </c>
      <c r="I458" s="53" t="s">
        <v>7</v>
      </c>
      <c r="J458" s="51" t="s">
        <v>10</v>
      </c>
      <c r="K458" s="109" t="s">
        <v>282</v>
      </c>
      <c r="L458" s="51" t="s">
        <v>444</v>
      </c>
      <c r="M458" s="55">
        <v>2014</v>
      </c>
      <c r="N458" s="55">
        <v>2018</v>
      </c>
      <c r="O458" s="87">
        <v>373.46</v>
      </c>
      <c r="P458" s="44"/>
      <c r="Q458" s="262"/>
      <c r="R458" s="87"/>
      <c r="S458" s="87">
        <v>113.26300755000001</v>
      </c>
      <c r="T458" s="87">
        <v>150.94279200000003</v>
      </c>
      <c r="U458" s="87">
        <v>109.254481875</v>
      </c>
      <c r="V458" s="104"/>
      <c r="W458" s="111" t="s">
        <v>1329</v>
      </c>
      <c r="X458" s="111" t="s">
        <v>19</v>
      </c>
      <c r="Y458" s="88" t="s">
        <v>249</v>
      </c>
      <c r="Z458" s="304" t="s">
        <v>1074</v>
      </c>
      <c r="AA458" s="43" t="s">
        <v>1020</v>
      </c>
      <c r="AB458" s="41" t="s">
        <v>1147</v>
      </c>
      <c r="AC458" s="117" t="s">
        <v>10</v>
      </c>
      <c r="AD45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45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45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113.26300755000003</v>
      </c>
      <c r="AG45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150.94279200000003</v>
      </c>
      <c r="AH458"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109.254481875</v>
      </c>
      <c r="AI458"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58" s="10">
        <f t="shared" si="36"/>
        <v>264.20579955000005</v>
      </c>
      <c r="AK458" s="10">
        <f t="shared" si="35"/>
        <v>109.254481875</v>
      </c>
      <c r="AL458" s="10">
        <f t="shared" si="37"/>
        <v>373.46028142500006</v>
      </c>
      <c r="AM458" s="6"/>
    </row>
    <row r="459" spans="1:39" ht="31.5" customHeight="1">
      <c r="A459" s="46" t="s">
        <v>38</v>
      </c>
      <c r="B459" s="46" t="s">
        <v>169</v>
      </c>
      <c r="C459" s="18" t="s">
        <v>922</v>
      </c>
      <c r="D459" s="26"/>
      <c r="E459" s="91"/>
      <c r="F459" s="47" t="s">
        <v>1045</v>
      </c>
      <c r="G459" s="42" t="s">
        <v>1037</v>
      </c>
      <c r="H459" s="64" t="s">
        <v>21</v>
      </c>
      <c r="I459" s="53" t="s">
        <v>7</v>
      </c>
      <c r="J459" s="51" t="s">
        <v>10</v>
      </c>
      <c r="K459" s="109" t="s">
        <v>282</v>
      </c>
      <c r="L459" s="51" t="s">
        <v>1054</v>
      </c>
      <c r="M459" s="55">
        <v>2013</v>
      </c>
      <c r="N459" s="55">
        <v>2018</v>
      </c>
      <c r="O459" s="87">
        <v>184.41</v>
      </c>
      <c r="P459" s="44"/>
      <c r="Q459" s="262"/>
      <c r="R459" s="87">
        <v>68.269794721407621</v>
      </c>
      <c r="S459" s="87">
        <v>106.95726000000001</v>
      </c>
      <c r="T459" s="87">
        <v>7.2645900000000001</v>
      </c>
      <c r="U459" s="87">
        <v>0.34608</v>
      </c>
      <c r="V459" s="104"/>
      <c r="W459" s="111" t="s">
        <v>1329</v>
      </c>
      <c r="X459" s="111" t="s">
        <v>19</v>
      </c>
      <c r="Y459" s="88" t="s">
        <v>249</v>
      </c>
      <c r="Z459" s="304" t="s">
        <v>1074</v>
      </c>
      <c r="AA459" s="43" t="s">
        <v>1020</v>
      </c>
      <c r="AB459" s="41" t="s">
        <v>1147</v>
      </c>
      <c r="AC459" s="117" t="s">
        <v>10</v>
      </c>
      <c r="AD45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45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68.269794721407621</v>
      </c>
      <c r="AF45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106.95726000000001</v>
      </c>
      <c r="AG45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7.264590000000001</v>
      </c>
      <c r="AH459"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0.34607999999999994</v>
      </c>
      <c r="AI459"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59" s="10">
        <f t="shared" si="36"/>
        <v>182.49164472140762</v>
      </c>
      <c r="AK459" s="10">
        <f t="shared" ref="AK459:AK522" si="38">+SUM(AH459:AI459)</f>
        <v>0.34607999999999994</v>
      </c>
      <c r="AL459" s="10">
        <f t="shared" si="37"/>
        <v>182.83772472140762</v>
      </c>
      <c r="AM459" s="6"/>
    </row>
    <row r="460" spans="1:39" ht="31.5" customHeight="1">
      <c r="A460" s="46" t="s">
        <v>38</v>
      </c>
      <c r="B460" s="46" t="s">
        <v>169</v>
      </c>
      <c r="C460" s="18" t="s">
        <v>923</v>
      </c>
      <c r="D460" s="26" t="s">
        <v>982</v>
      </c>
      <c r="E460" s="91"/>
      <c r="F460" s="47"/>
      <c r="G460" s="42" t="s">
        <v>983</v>
      </c>
      <c r="H460" s="64" t="s">
        <v>6</v>
      </c>
      <c r="I460" s="53" t="s">
        <v>7</v>
      </c>
      <c r="J460" s="51" t="s">
        <v>10</v>
      </c>
      <c r="K460" s="109" t="s">
        <v>282</v>
      </c>
      <c r="L460" s="51" t="s">
        <v>1000</v>
      </c>
      <c r="M460" s="56">
        <v>2009</v>
      </c>
      <c r="N460" s="56">
        <v>2014</v>
      </c>
      <c r="O460" s="87">
        <v>2232.4211660002552</v>
      </c>
      <c r="P460" s="44"/>
      <c r="Q460" s="262">
        <v>661.64399999999978</v>
      </c>
      <c r="R460" s="87">
        <v>960.89765281978907</v>
      </c>
      <c r="S460" s="87"/>
      <c r="T460" s="87"/>
      <c r="U460" s="87"/>
      <c r="V460" s="104"/>
      <c r="W460" s="111" t="s">
        <v>1329</v>
      </c>
      <c r="X460" s="111" t="s">
        <v>19</v>
      </c>
      <c r="Y460" s="88" t="s">
        <v>249</v>
      </c>
      <c r="Z460" s="304" t="s">
        <v>1073</v>
      </c>
      <c r="AA460" s="43" t="s">
        <v>1034</v>
      </c>
      <c r="AB460" s="41"/>
      <c r="AC460" s="117"/>
      <c r="AD46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661.64399999999978</v>
      </c>
      <c r="AE46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960.89765281978907</v>
      </c>
      <c r="AF46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46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460"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460"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60" s="10">
        <f t="shared" si="36"/>
        <v>1622.5416528197889</v>
      </c>
      <c r="AK460" s="10">
        <f t="shared" si="38"/>
        <v>0</v>
      </c>
      <c r="AL460" s="10">
        <f t="shared" si="37"/>
        <v>960.89765281978907</v>
      </c>
      <c r="AM460" s="6"/>
    </row>
    <row r="461" spans="1:39" ht="31.5" customHeight="1">
      <c r="A461" s="46" t="s">
        <v>38</v>
      </c>
      <c r="B461" s="46" t="s">
        <v>169</v>
      </c>
      <c r="C461" s="18" t="s">
        <v>923</v>
      </c>
      <c r="D461" s="26" t="s">
        <v>984</v>
      </c>
      <c r="E461" s="91"/>
      <c r="F461" s="47"/>
      <c r="G461" s="42" t="s">
        <v>920</v>
      </c>
      <c r="H461" s="64" t="s">
        <v>6</v>
      </c>
      <c r="I461" s="53" t="s">
        <v>7</v>
      </c>
      <c r="J461" s="51" t="s">
        <v>10</v>
      </c>
      <c r="K461" s="109" t="s">
        <v>282</v>
      </c>
      <c r="L461" s="51" t="s">
        <v>444</v>
      </c>
      <c r="M461" s="56">
        <v>2014</v>
      </c>
      <c r="N461" s="56">
        <v>2019</v>
      </c>
      <c r="O461" s="87">
        <v>6528.08</v>
      </c>
      <c r="P461" s="44"/>
      <c r="Q461" s="262"/>
      <c r="R461" s="87"/>
      <c r="S461" s="87">
        <v>533.39</v>
      </c>
      <c r="T461" s="87">
        <v>677.88</v>
      </c>
      <c r="U461" s="87">
        <v>5316.8099999999995</v>
      </c>
      <c r="V461" s="104"/>
      <c r="W461" s="111" t="s">
        <v>1329</v>
      </c>
      <c r="X461" s="111" t="s">
        <v>19</v>
      </c>
      <c r="Y461" s="88" t="s">
        <v>249</v>
      </c>
      <c r="Z461" s="304" t="s">
        <v>1074</v>
      </c>
      <c r="AA461" s="43" t="s">
        <v>1020</v>
      </c>
      <c r="AB461" s="41" t="s">
        <v>1147</v>
      </c>
      <c r="AC461" s="117"/>
      <c r="AD46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46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46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533.39</v>
      </c>
      <c r="AG46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677.88</v>
      </c>
      <c r="AH461"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5316.81</v>
      </c>
      <c r="AI461"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61" s="10">
        <f t="shared" si="36"/>
        <v>1211.27</v>
      </c>
      <c r="AK461" s="10">
        <f t="shared" si="38"/>
        <v>5316.81</v>
      </c>
      <c r="AL461" s="10">
        <f t="shared" si="37"/>
        <v>6528.08</v>
      </c>
      <c r="AM461" s="6"/>
    </row>
    <row r="462" spans="1:39" ht="31.5" customHeight="1">
      <c r="A462" s="46" t="s">
        <v>38</v>
      </c>
      <c r="B462" s="46" t="s">
        <v>169</v>
      </c>
      <c r="C462" s="18" t="s">
        <v>923</v>
      </c>
      <c r="D462" s="26" t="s">
        <v>985</v>
      </c>
      <c r="E462" s="91"/>
      <c r="F462" s="47"/>
      <c r="G462" s="42" t="s">
        <v>1036</v>
      </c>
      <c r="H462" s="64" t="s">
        <v>6</v>
      </c>
      <c r="I462" s="53" t="s">
        <v>7</v>
      </c>
      <c r="J462" s="51" t="s">
        <v>10</v>
      </c>
      <c r="K462" s="109" t="s">
        <v>282</v>
      </c>
      <c r="L462" s="51" t="s">
        <v>1000</v>
      </c>
      <c r="M462" s="56">
        <v>2009</v>
      </c>
      <c r="N462" s="56">
        <v>2014</v>
      </c>
      <c r="O462" s="87">
        <v>8694.0913819878115</v>
      </c>
      <c r="P462" s="44"/>
      <c r="Q462" s="262">
        <v>2679.6369999999997</v>
      </c>
      <c r="R462" s="87">
        <v>3524.4668671426589</v>
      </c>
      <c r="S462" s="87"/>
      <c r="T462" s="87"/>
      <c r="U462" s="87"/>
      <c r="V462" s="104"/>
      <c r="W462" s="111" t="s">
        <v>1329</v>
      </c>
      <c r="X462" s="111" t="s">
        <v>19</v>
      </c>
      <c r="Y462" s="88" t="s">
        <v>249</v>
      </c>
      <c r="Z462" s="304" t="s">
        <v>1073</v>
      </c>
      <c r="AA462" s="43" t="s">
        <v>1020</v>
      </c>
      <c r="AB462" s="41" t="s">
        <v>1147</v>
      </c>
      <c r="AC462" s="117"/>
      <c r="AD46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2679.6369999999997</v>
      </c>
      <c r="AE46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3524.4668671426589</v>
      </c>
      <c r="AF46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46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462"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462"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62" s="10">
        <f t="shared" si="36"/>
        <v>6204.1038671426586</v>
      </c>
      <c r="AK462" s="10">
        <f t="shared" si="38"/>
        <v>0</v>
      </c>
      <c r="AL462" s="10">
        <f t="shared" si="37"/>
        <v>3524.4668671426589</v>
      </c>
      <c r="AM462" s="6"/>
    </row>
    <row r="463" spans="1:39" ht="31.5" customHeight="1">
      <c r="A463" s="46" t="s">
        <v>38</v>
      </c>
      <c r="B463" s="46" t="s">
        <v>169</v>
      </c>
      <c r="C463" s="18" t="s">
        <v>923</v>
      </c>
      <c r="D463" s="26" t="s">
        <v>986</v>
      </c>
      <c r="E463" s="91"/>
      <c r="F463" s="47"/>
      <c r="G463" s="42" t="s">
        <v>919</v>
      </c>
      <c r="H463" s="64" t="s">
        <v>6</v>
      </c>
      <c r="I463" s="53" t="s">
        <v>7</v>
      </c>
      <c r="J463" s="51" t="s">
        <v>10</v>
      </c>
      <c r="K463" s="109" t="s">
        <v>282</v>
      </c>
      <c r="L463" s="51" t="s">
        <v>444</v>
      </c>
      <c r="M463" s="56">
        <v>2014</v>
      </c>
      <c r="N463" s="56">
        <v>2019</v>
      </c>
      <c r="O463" s="87">
        <v>12107</v>
      </c>
      <c r="P463" s="44"/>
      <c r="Q463" s="262"/>
      <c r="R463" s="87"/>
      <c r="S463" s="87">
        <v>2508</v>
      </c>
      <c r="T463" s="87">
        <v>2575</v>
      </c>
      <c r="U463" s="87">
        <v>7024</v>
      </c>
      <c r="V463" s="104"/>
      <c r="W463" s="111" t="s">
        <v>1329</v>
      </c>
      <c r="X463" s="111" t="s">
        <v>19</v>
      </c>
      <c r="Y463" s="88" t="s">
        <v>249</v>
      </c>
      <c r="Z463" s="304" t="s">
        <v>1074</v>
      </c>
      <c r="AA463" s="43" t="s">
        <v>1020</v>
      </c>
      <c r="AB463" s="41" t="s">
        <v>1147</v>
      </c>
      <c r="AC463" s="117"/>
      <c r="AD46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46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46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2508</v>
      </c>
      <c r="AG46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2575</v>
      </c>
      <c r="AH463"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7024</v>
      </c>
      <c r="AI463"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63" s="10">
        <f t="shared" si="36"/>
        <v>5083</v>
      </c>
      <c r="AK463" s="10">
        <f t="shared" si="38"/>
        <v>7024</v>
      </c>
      <c r="AL463" s="10">
        <f t="shared" si="37"/>
        <v>12107</v>
      </c>
      <c r="AM463" s="6"/>
    </row>
    <row r="464" spans="1:39" ht="31.5" customHeight="1">
      <c r="A464" s="46" t="s">
        <v>38</v>
      </c>
      <c r="B464" s="46" t="s">
        <v>169</v>
      </c>
      <c r="C464" s="18" t="s">
        <v>923</v>
      </c>
      <c r="D464" s="26"/>
      <c r="E464" s="91"/>
      <c r="F464" s="47" t="s">
        <v>901</v>
      </c>
      <c r="G464" s="42" t="s">
        <v>925</v>
      </c>
      <c r="H464" s="64" t="s">
        <v>14</v>
      </c>
      <c r="I464" s="53" t="s">
        <v>7</v>
      </c>
      <c r="J464" s="51" t="s">
        <v>10</v>
      </c>
      <c r="K464" s="109" t="s">
        <v>282</v>
      </c>
      <c r="L464" s="51" t="s">
        <v>444</v>
      </c>
      <c r="M464" s="55" t="s">
        <v>27</v>
      </c>
      <c r="N464" s="55" t="s">
        <v>27</v>
      </c>
      <c r="O464" s="87">
        <v>217.6</v>
      </c>
      <c r="P464" s="44"/>
      <c r="Q464" s="262"/>
      <c r="R464" s="87"/>
      <c r="S464" s="87">
        <v>13.098970481184899</v>
      </c>
      <c r="T464" s="87">
        <v>30.805690827428084</v>
      </c>
      <c r="U464" s="87">
        <v>173.69191884678</v>
      </c>
      <c r="V464" s="104"/>
      <c r="W464" s="111" t="s">
        <v>1329</v>
      </c>
      <c r="X464" s="111" t="s">
        <v>19</v>
      </c>
      <c r="Y464" s="88" t="s">
        <v>249</v>
      </c>
      <c r="Z464" s="304" t="s">
        <v>1074</v>
      </c>
      <c r="AA464" s="43" t="s">
        <v>1020</v>
      </c>
      <c r="AB464" s="41" t="s">
        <v>1147</v>
      </c>
      <c r="AC464" s="117" t="s">
        <v>10</v>
      </c>
      <c r="AD46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46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46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13.098970481184899</v>
      </c>
      <c r="AG46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30.805690827428084</v>
      </c>
      <c r="AH464"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173.69191884678</v>
      </c>
      <c r="AI464"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64" s="10">
        <f t="shared" si="36"/>
        <v>43.904661308612987</v>
      </c>
      <c r="AK464" s="10">
        <f t="shared" si="38"/>
        <v>173.69191884678</v>
      </c>
      <c r="AL464" s="10">
        <f t="shared" si="37"/>
        <v>217.59658015539299</v>
      </c>
      <c r="AM464" s="6"/>
    </row>
    <row r="465" spans="1:39" ht="31.5" customHeight="1">
      <c r="A465" s="46" t="s">
        <v>38</v>
      </c>
      <c r="B465" s="46" t="s">
        <v>169</v>
      </c>
      <c r="C465" s="18" t="s">
        <v>923</v>
      </c>
      <c r="D465" s="26"/>
      <c r="E465" s="91"/>
      <c r="F465" s="47" t="s">
        <v>898</v>
      </c>
      <c r="G465" s="42" t="s">
        <v>915</v>
      </c>
      <c r="H465" s="64" t="s">
        <v>25</v>
      </c>
      <c r="I465" s="53" t="s">
        <v>7</v>
      </c>
      <c r="J465" s="51" t="s">
        <v>10</v>
      </c>
      <c r="K465" s="109" t="s">
        <v>282</v>
      </c>
      <c r="L465" s="51" t="s">
        <v>444</v>
      </c>
      <c r="M465" s="55" t="s">
        <v>27</v>
      </c>
      <c r="N465" s="55">
        <v>2017</v>
      </c>
      <c r="O465" s="87">
        <v>309.69</v>
      </c>
      <c r="P465" s="44"/>
      <c r="Q465" s="262"/>
      <c r="R465" s="87"/>
      <c r="S465" s="87">
        <v>90.846000000000004</v>
      </c>
      <c r="T465" s="87">
        <v>133.4571</v>
      </c>
      <c r="U465" s="87">
        <v>85.387</v>
      </c>
      <c r="V465" s="104"/>
      <c r="W465" s="111" t="s">
        <v>1329</v>
      </c>
      <c r="X465" s="111" t="s">
        <v>19</v>
      </c>
      <c r="Y465" s="88" t="s">
        <v>249</v>
      </c>
      <c r="Z465" s="304" t="s">
        <v>1074</v>
      </c>
      <c r="AA465" s="43" t="s">
        <v>1020</v>
      </c>
      <c r="AB465" s="41" t="s">
        <v>1147</v>
      </c>
      <c r="AC465" s="117" t="s">
        <v>10</v>
      </c>
      <c r="AD46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46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46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90.846000000000004</v>
      </c>
      <c r="AG46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133.4571</v>
      </c>
      <c r="AH465"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85.387</v>
      </c>
      <c r="AI465"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65" s="10">
        <f t="shared" si="36"/>
        <v>224.3031</v>
      </c>
      <c r="AK465" s="10">
        <f t="shared" si="38"/>
        <v>85.387</v>
      </c>
      <c r="AL465" s="10">
        <f t="shared" si="37"/>
        <v>309.69010000000003</v>
      </c>
      <c r="AM465" s="6"/>
    </row>
    <row r="466" spans="1:39" ht="31.5" customHeight="1">
      <c r="A466" s="46" t="s">
        <v>38</v>
      </c>
      <c r="B466" s="46" t="s">
        <v>169</v>
      </c>
      <c r="C466" s="18" t="s">
        <v>923</v>
      </c>
      <c r="D466" s="26"/>
      <c r="E466" s="91"/>
      <c r="F466" s="47" t="s">
        <v>184</v>
      </c>
      <c r="G466" s="42" t="s">
        <v>905</v>
      </c>
      <c r="H466" s="64" t="s">
        <v>14</v>
      </c>
      <c r="I466" s="53" t="s">
        <v>7</v>
      </c>
      <c r="J466" s="51" t="s">
        <v>10</v>
      </c>
      <c r="K466" s="109" t="s">
        <v>282</v>
      </c>
      <c r="L466" s="51" t="s">
        <v>1054</v>
      </c>
      <c r="M466" s="55">
        <v>2011</v>
      </c>
      <c r="N466" s="55">
        <v>2014</v>
      </c>
      <c r="O466" s="87">
        <v>582</v>
      </c>
      <c r="P466" s="44"/>
      <c r="Q466" s="262">
        <v>180.203</v>
      </c>
      <c r="R466" s="87">
        <v>158.2893450635386</v>
      </c>
      <c r="S466" s="87"/>
      <c r="T466" s="87"/>
      <c r="U466" s="87"/>
      <c r="V466" s="104"/>
      <c r="W466" s="111" t="s">
        <v>11</v>
      </c>
      <c r="X466" s="111" t="s">
        <v>19</v>
      </c>
      <c r="Y466" s="88" t="s">
        <v>249</v>
      </c>
      <c r="Z466" s="304" t="s">
        <v>1073</v>
      </c>
      <c r="AA466" s="43" t="s">
        <v>1034</v>
      </c>
      <c r="AB466" s="41" t="s">
        <v>1033</v>
      </c>
      <c r="AC466" s="117" t="s">
        <v>10</v>
      </c>
      <c r="AD46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180.203</v>
      </c>
      <c r="AE46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158.2893450635386</v>
      </c>
      <c r="AF46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46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466"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466"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66" s="10">
        <f t="shared" si="36"/>
        <v>338.49234506353861</v>
      </c>
      <c r="AK466" s="10">
        <f t="shared" si="38"/>
        <v>0</v>
      </c>
      <c r="AL466" s="10">
        <f t="shared" si="37"/>
        <v>158.2893450635386</v>
      </c>
      <c r="AM466" s="6"/>
    </row>
    <row r="467" spans="1:39" ht="31.5" customHeight="1">
      <c r="A467" s="46" t="s">
        <v>38</v>
      </c>
      <c r="B467" s="46" t="s">
        <v>169</v>
      </c>
      <c r="C467" s="18" t="s">
        <v>923</v>
      </c>
      <c r="D467" s="26"/>
      <c r="E467" s="91"/>
      <c r="F467" s="47" t="s">
        <v>896</v>
      </c>
      <c r="G467" s="42" t="s">
        <v>1039</v>
      </c>
      <c r="H467" s="64" t="s">
        <v>17</v>
      </c>
      <c r="I467" s="53" t="s">
        <v>7</v>
      </c>
      <c r="J467" s="51" t="s">
        <v>10</v>
      </c>
      <c r="K467" s="109" t="s">
        <v>282</v>
      </c>
      <c r="L467" s="51" t="s">
        <v>1054</v>
      </c>
      <c r="M467" s="55" t="s">
        <v>27</v>
      </c>
      <c r="N467" s="55" t="s">
        <v>27</v>
      </c>
      <c r="O467" s="87">
        <v>510.37</v>
      </c>
      <c r="P467" s="44"/>
      <c r="Q467" s="262">
        <v>53.281999999999996</v>
      </c>
      <c r="R467" s="87">
        <v>109.29618768328446</v>
      </c>
      <c r="S467" s="87">
        <v>141.24698999999998</v>
      </c>
      <c r="T467" s="87">
        <v>98.663700000000006</v>
      </c>
      <c r="U467" s="87">
        <v>60.244700000000002</v>
      </c>
      <c r="V467" s="104"/>
      <c r="W467" s="111"/>
      <c r="X467" s="111" t="s">
        <v>19</v>
      </c>
      <c r="Y467" s="88" t="s">
        <v>249</v>
      </c>
      <c r="Z467" s="304" t="s">
        <v>1074</v>
      </c>
      <c r="AA467" s="43" t="s">
        <v>1020</v>
      </c>
      <c r="AB467" s="41" t="s">
        <v>1147</v>
      </c>
      <c r="AC467" s="117"/>
      <c r="AD46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53.281999999999996</v>
      </c>
      <c r="AE46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109.29618768328446</v>
      </c>
      <c r="AF46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141.24698999999998</v>
      </c>
      <c r="AG46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98.663700000000006</v>
      </c>
      <c r="AH467"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60.244700000000002</v>
      </c>
      <c r="AI467"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67" s="10">
        <f t="shared" si="36"/>
        <v>402.48887768328444</v>
      </c>
      <c r="AK467" s="10">
        <f t="shared" si="38"/>
        <v>60.244700000000002</v>
      </c>
      <c r="AL467" s="10">
        <f t="shared" si="37"/>
        <v>409.45157768328448</v>
      </c>
      <c r="AM467" s="6"/>
    </row>
    <row r="468" spans="1:39" ht="31.5" customHeight="1">
      <c r="A468" s="46" t="s">
        <v>38</v>
      </c>
      <c r="B468" s="46" t="s">
        <v>169</v>
      </c>
      <c r="C468" s="18" t="s">
        <v>923</v>
      </c>
      <c r="D468" s="26"/>
      <c r="E468" s="91"/>
      <c r="F468" s="47" t="s">
        <v>897</v>
      </c>
      <c r="G468" s="42" t="s">
        <v>1040</v>
      </c>
      <c r="H468" s="64" t="s">
        <v>20</v>
      </c>
      <c r="I468" s="53" t="s">
        <v>7</v>
      </c>
      <c r="J468" s="51" t="s">
        <v>10</v>
      </c>
      <c r="K468" s="109" t="s">
        <v>282</v>
      </c>
      <c r="L468" s="51" t="s">
        <v>1054</v>
      </c>
      <c r="M468" s="55" t="s">
        <v>27</v>
      </c>
      <c r="N468" s="55" t="s">
        <v>27</v>
      </c>
      <c r="O468" s="87">
        <v>474.41</v>
      </c>
      <c r="P468" s="44"/>
      <c r="Q468" s="262">
        <v>22.122</v>
      </c>
      <c r="R468" s="87">
        <v>43.333333333333336</v>
      </c>
      <c r="S468" s="87">
        <v>89.324077149999994</v>
      </c>
      <c r="T468" s="87">
        <v>162.52522440000001</v>
      </c>
      <c r="U468" s="87">
        <v>109.64171295</v>
      </c>
      <c r="V468" s="104"/>
      <c r="W468" s="111"/>
      <c r="X468" s="111" t="s">
        <v>19</v>
      </c>
      <c r="Y468" s="88" t="s">
        <v>249</v>
      </c>
      <c r="Z468" s="304" t="s">
        <v>1073</v>
      </c>
      <c r="AA468" s="43" t="s">
        <v>1020</v>
      </c>
      <c r="AB468" s="41" t="s">
        <v>1147</v>
      </c>
      <c r="AC468" s="117" t="s">
        <v>10</v>
      </c>
      <c r="AD46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22.122</v>
      </c>
      <c r="AE46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43.333333333333343</v>
      </c>
      <c r="AF46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89.324077149999994</v>
      </c>
      <c r="AG46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162.52522440000001</v>
      </c>
      <c r="AH468"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109.64171295</v>
      </c>
      <c r="AI468"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68" s="10">
        <f t="shared" si="36"/>
        <v>317.30463488333334</v>
      </c>
      <c r="AK468" s="10">
        <f t="shared" si="38"/>
        <v>109.64171295</v>
      </c>
      <c r="AL468" s="10">
        <f t="shared" si="37"/>
        <v>404.82434783333332</v>
      </c>
      <c r="AM468" s="6"/>
    </row>
    <row r="469" spans="1:39" ht="31.5" customHeight="1">
      <c r="A469" s="46" t="s">
        <v>38</v>
      </c>
      <c r="B469" s="46" t="s">
        <v>169</v>
      </c>
      <c r="C469" s="18" t="s">
        <v>923</v>
      </c>
      <c r="D469" s="26"/>
      <c r="E469" s="91"/>
      <c r="F469" s="47" t="s">
        <v>185</v>
      </c>
      <c r="G469" s="42" t="s">
        <v>906</v>
      </c>
      <c r="H469" s="64" t="s">
        <v>20</v>
      </c>
      <c r="I469" s="53" t="s">
        <v>7</v>
      </c>
      <c r="J469" s="51" t="s">
        <v>10</v>
      </c>
      <c r="K469" s="109" t="s">
        <v>282</v>
      </c>
      <c r="L469" s="51" t="s">
        <v>1054</v>
      </c>
      <c r="M469" s="55">
        <v>2011</v>
      </c>
      <c r="N469" s="55">
        <v>2014</v>
      </c>
      <c r="O469" s="87">
        <v>69</v>
      </c>
      <c r="P469" s="44"/>
      <c r="Q469" s="262">
        <v>5.76</v>
      </c>
      <c r="R469" s="87">
        <v>9.1300097751710663</v>
      </c>
      <c r="S469" s="87"/>
      <c r="T469" s="87"/>
      <c r="U469" s="87"/>
      <c r="V469" s="104"/>
      <c r="W469" s="111" t="s">
        <v>11</v>
      </c>
      <c r="X469" s="111" t="s">
        <v>19</v>
      </c>
      <c r="Y469" s="88" t="s">
        <v>249</v>
      </c>
      <c r="Z469" s="304" t="s">
        <v>1073</v>
      </c>
      <c r="AA469" s="43" t="s">
        <v>1034</v>
      </c>
      <c r="AB469" s="41" t="s">
        <v>1033</v>
      </c>
      <c r="AC469" s="117"/>
      <c r="AD46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5.76</v>
      </c>
      <c r="AE46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9.1300097751710663</v>
      </c>
      <c r="AF46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46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469"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469"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69" s="10">
        <f t="shared" si="36"/>
        <v>14.890009775171066</v>
      </c>
      <c r="AK469" s="10">
        <f t="shared" si="38"/>
        <v>0</v>
      </c>
      <c r="AL469" s="10">
        <f t="shared" si="37"/>
        <v>9.1300097751710663</v>
      </c>
      <c r="AM469" s="6"/>
    </row>
    <row r="470" spans="1:39" ht="31.5" customHeight="1">
      <c r="A470" s="46" t="s">
        <v>38</v>
      </c>
      <c r="B470" s="46" t="s">
        <v>169</v>
      </c>
      <c r="C470" s="18" t="s">
        <v>923</v>
      </c>
      <c r="D470" s="26"/>
      <c r="E470" s="91"/>
      <c r="F470" s="47" t="s">
        <v>187</v>
      </c>
      <c r="G470" s="42" t="s">
        <v>907</v>
      </c>
      <c r="H470" s="64" t="s">
        <v>21</v>
      </c>
      <c r="I470" s="53" t="s">
        <v>7</v>
      </c>
      <c r="J470" s="51" t="s">
        <v>10</v>
      </c>
      <c r="K470" s="109" t="s">
        <v>282</v>
      </c>
      <c r="L470" s="51" t="s">
        <v>1054</v>
      </c>
      <c r="M470" s="55">
        <v>2012</v>
      </c>
      <c r="N470" s="55">
        <v>2014</v>
      </c>
      <c r="O470" s="87">
        <v>96</v>
      </c>
      <c r="P470" s="44"/>
      <c r="Q470" s="262">
        <v>12.920999999999999</v>
      </c>
      <c r="R470" s="87">
        <v>5.6695992179863151</v>
      </c>
      <c r="S470" s="87"/>
      <c r="T470" s="87"/>
      <c r="U470" s="87"/>
      <c r="V470" s="104"/>
      <c r="W470" s="111" t="s">
        <v>11</v>
      </c>
      <c r="X470" s="111" t="s">
        <v>19</v>
      </c>
      <c r="Y470" s="88" t="s">
        <v>249</v>
      </c>
      <c r="Z470" s="304" t="s">
        <v>1073</v>
      </c>
      <c r="AA470" s="43" t="s">
        <v>1034</v>
      </c>
      <c r="AB470" s="41" t="s">
        <v>1033</v>
      </c>
      <c r="AC470" s="117"/>
      <c r="AD47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12.920999999999999</v>
      </c>
      <c r="AE47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5.6695992179863151</v>
      </c>
      <c r="AF47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47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470"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470"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70" s="10">
        <f t="shared" si="36"/>
        <v>18.590599217986316</v>
      </c>
      <c r="AK470" s="10">
        <f t="shared" si="38"/>
        <v>0</v>
      </c>
      <c r="AL470" s="10">
        <f t="shared" si="37"/>
        <v>5.6695992179863168</v>
      </c>
      <c r="AM470" s="6"/>
    </row>
    <row r="471" spans="1:39" ht="31.5" customHeight="1">
      <c r="A471" s="46" t="s">
        <v>38</v>
      </c>
      <c r="B471" s="46" t="s">
        <v>169</v>
      </c>
      <c r="C471" s="18" t="s">
        <v>923</v>
      </c>
      <c r="D471" s="26"/>
      <c r="E471" s="91"/>
      <c r="F471" s="47" t="s">
        <v>186</v>
      </c>
      <c r="G471" s="42" t="s">
        <v>908</v>
      </c>
      <c r="H471" s="64" t="s">
        <v>14</v>
      </c>
      <c r="I471" s="53" t="s">
        <v>7</v>
      </c>
      <c r="J471" s="51" t="s">
        <v>10</v>
      </c>
      <c r="K471" s="109" t="s">
        <v>282</v>
      </c>
      <c r="L471" s="51" t="s">
        <v>1054</v>
      </c>
      <c r="M471" s="55">
        <v>2012</v>
      </c>
      <c r="N471" s="55">
        <v>2013</v>
      </c>
      <c r="O471" s="87">
        <v>90</v>
      </c>
      <c r="P471" s="44"/>
      <c r="Q471" s="262">
        <v>5.9290000000000003</v>
      </c>
      <c r="R471" s="87">
        <v>6.8426197458455532E-2</v>
      </c>
      <c r="S471" s="87"/>
      <c r="T471" s="87"/>
      <c r="U471" s="87"/>
      <c r="V471" s="104"/>
      <c r="W471" s="111" t="s">
        <v>11</v>
      </c>
      <c r="X471" s="111" t="s">
        <v>19</v>
      </c>
      <c r="Y471" s="88" t="s">
        <v>249</v>
      </c>
      <c r="Z471" s="304" t="s">
        <v>1073</v>
      </c>
      <c r="AA471" s="43" t="s">
        <v>1034</v>
      </c>
      <c r="AB471" s="41"/>
      <c r="AC471" s="117"/>
      <c r="AD47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5.9289999999999994</v>
      </c>
      <c r="AE47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6.8426197458455532E-2</v>
      </c>
      <c r="AF47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47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471"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471"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71" s="10">
        <f t="shared" si="36"/>
        <v>5.9974261974584548</v>
      </c>
      <c r="AK471" s="10">
        <f t="shared" si="38"/>
        <v>0</v>
      </c>
      <c r="AL471" s="10">
        <f t="shared" si="37"/>
        <v>6.8426197458455462E-2</v>
      </c>
      <c r="AM471" s="6"/>
    </row>
    <row r="472" spans="1:39" ht="31.5" customHeight="1">
      <c r="A472" s="46" t="s">
        <v>38</v>
      </c>
      <c r="B472" s="46" t="s">
        <v>169</v>
      </c>
      <c r="C472" s="18" t="s">
        <v>923</v>
      </c>
      <c r="D472" s="26"/>
      <c r="E472" s="91"/>
      <c r="F472" s="47" t="s">
        <v>902</v>
      </c>
      <c r="G472" s="42" t="s">
        <v>918</v>
      </c>
      <c r="H472" s="64" t="s">
        <v>25</v>
      </c>
      <c r="I472" s="53" t="s">
        <v>7</v>
      </c>
      <c r="J472" s="51" t="s">
        <v>10</v>
      </c>
      <c r="K472" s="109" t="s">
        <v>282</v>
      </c>
      <c r="L472" s="51" t="s">
        <v>444</v>
      </c>
      <c r="M472" s="55" t="s">
        <v>27</v>
      </c>
      <c r="N472" s="55" t="s">
        <v>27</v>
      </c>
      <c r="O472" s="87">
        <v>190.67</v>
      </c>
      <c r="P472" s="44"/>
      <c r="Q472" s="262"/>
      <c r="R472" s="87"/>
      <c r="S472" s="87">
        <v>52.138600000000011</v>
      </c>
      <c r="T472" s="87">
        <v>86.087400000000017</v>
      </c>
      <c r="U472" s="87">
        <v>52.447600000000008</v>
      </c>
      <c r="V472" s="104"/>
      <c r="W472" s="111"/>
      <c r="X472" s="111" t="s">
        <v>19</v>
      </c>
      <c r="Y472" s="88" t="s">
        <v>249</v>
      </c>
      <c r="Z472" s="304" t="s">
        <v>1074</v>
      </c>
      <c r="AA472" s="43" t="s">
        <v>1020</v>
      </c>
      <c r="AB472" s="41" t="s">
        <v>1147</v>
      </c>
      <c r="AC472" s="117"/>
      <c r="AD47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47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47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52.138600000000018</v>
      </c>
      <c r="AG47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86.087400000000017</v>
      </c>
      <c r="AH472"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52.447600000000008</v>
      </c>
      <c r="AI472"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72" s="10">
        <f t="shared" si="36"/>
        <v>138.22600000000003</v>
      </c>
      <c r="AK472" s="10">
        <f t="shared" si="38"/>
        <v>52.447600000000008</v>
      </c>
      <c r="AL472" s="10">
        <f t="shared" si="37"/>
        <v>190.67360000000002</v>
      </c>
      <c r="AM472" s="6"/>
    </row>
    <row r="473" spans="1:39" ht="31.5" customHeight="1">
      <c r="A473" s="46" t="s">
        <v>38</v>
      </c>
      <c r="B473" s="46" t="s">
        <v>169</v>
      </c>
      <c r="C473" s="18" t="s">
        <v>923</v>
      </c>
      <c r="D473" s="26"/>
      <c r="E473" s="91"/>
      <c r="F473" s="47" t="s">
        <v>899</v>
      </c>
      <c r="G473" s="42" t="s">
        <v>1103</v>
      </c>
      <c r="H473" s="64" t="s">
        <v>6</v>
      </c>
      <c r="I473" s="53" t="s">
        <v>7</v>
      </c>
      <c r="J473" s="51" t="s">
        <v>10</v>
      </c>
      <c r="K473" s="109" t="s">
        <v>282</v>
      </c>
      <c r="L473" s="51" t="s">
        <v>444</v>
      </c>
      <c r="M473" s="55" t="s">
        <v>27</v>
      </c>
      <c r="N473" s="55" t="s">
        <v>27</v>
      </c>
      <c r="O473" s="87">
        <v>185.38</v>
      </c>
      <c r="P473" s="44"/>
      <c r="Q473" s="262"/>
      <c r="R473" s="87"/>
      <c r="S473" s="87">
        <v>61.793819999999997</v>
      </c>
      <c r="T473" s="87">
        <v>61.793819999999997</v>
      </c>
      <c r="U473" s="87">
        <v>61.793819999999997</v>
      </c>
      <c r="V473" s="104"/>
      <c r="W473" s="111"/>
      <c r="X473" s="111" t="s">
        <v>19</v>
      </c>
      <c r="Y473" s="88" t="s">
        <v>249</v>
      </c>
      <c r="Z473" s="304" t="s">
        <v>1074</v>
      </c>
      <c r="AA473" s="43" t="s">
        <v>1020</v>
      </c>
      <c r="AB473" s="41" t="s">
        <v>1147</v>
      </c>
      <c r="AC473" s="117"/>
      <c r="AD47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47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47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61.793819999999997</v>
      </c>
      <c r="AG47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61.793819999999997</v>
      </c>
      <c r="AH473"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61.793819999999997</v>
      </c>
      <c r="AI473"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73" s="10">
        <f t="shared" si="36"/>
        <v>123.58763999999999</v>
      </c>
      <c r="AK473" s="10">
        <f t="shared" si="38"/>
        <v>61.793819999999997</v>
      </c>
      <c r="AL473" s="10">
        <f t="shared" si="37"/>
        <v>185.38146</v>
      </c>
      <c r="AM473" s="6"/>
    </row>
    <row r="474" spans="1:39" ht="31.5" customHeight="1">
      <c r="A474" s="46" t="s">
        <v>38</v>
      </c>
      <c r="B474" s="46" t="s">
        <v>169</v>
      </c>
      <c r="C474" s="18" t="s">
        <v>923</v>
      </c>
      <c r="D474" s="26"/>
      <c r="E474" s="91"/>
      <c r="F474" s="47" t="s">
        <v>924</v>
      </c>
      <c r="G474" s="42" t="s">
        <v>909</v>
      </c>
      <c r="H474" s="64" t="s">
        <v>25</v>
      </c>
      <c r="I474" s="53" t="s">
        <v>7</v>
      </c>
      <c r="J474" s="51" t="s">
        <v>10</v>
      </c>
      <c r="K474" s="109" t="s">
        <v>282</v>
      </c>
      <c r="L474" s="51" t="s">
        <v>1054</v>
      </c>
      <c r="M474" s="55">
        <v>2011</v>
      </c>
      <c r="N474" s="55">
        <v>2016</v>
      </c>
      <c r="O474" s="87">
        <v>141</v>
      </c>
      <c r="P474" s="44"/>
      <c r="Q474" s="262">
        <v>39.447000000000003</v>
      </c>
      <c r="R474" s="87">
        <v>52.756598240469209</v>
      </c>
      <c r="S474" s="87"/>
      <c r="T474" s="87"/>
      <c r="U474" s="87"/>
      <c r="V474" s="104"/>
      <c r="W474" s="111" t="s">
        <v>11</v>
      </c>
      <c r="X474" s="111" t="s">
        <v>19</v>
      </c>
      <c r="Y474" s="88" t="s">
        <v>249</v>
      </c>
      <c r="Z474" s="304" t="s">
        <v>1073</v>
      </c>
      <c r="AA474" s="43" t="s">
        <v>1034</v>
      </c>
      <c r="AB474" s="41"/>
      <c r="AC474" s="117"/>
      <c r="AD47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39.447000000000003</v>
      </c>
      <c r="AE47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52.756598240469209</v>
      </c>
      <c r="AF47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47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474"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474"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74" s="10">
        <f t="shared" si="36"/>
        <v>92.203598240469205</v>
      </c>
      <c r="AK474" s="10">
        <f t="shared" si="38"/>
        <v>0</v>
      </c>
      <c r="AL474" s="10">
        <f t="shared" si="37"/>
        <v>52.756598240469202</v>
      </c>
      <c r="AM474" s="6"/>
    </row>
    <row r="475" spans="1:39" ht="31.5" customHeight="1">
      <c r="A475" s="46" t="s">
        <v>38</v>
      </c>
      <c r="B475" s="46" t="s">
        <v>169</v>
      </c>
      <c r="C475" s="18" t="s">
        <v>923</v>
      </c>
      <c r="D475" s="26"/>
      <c r="E475" s="91"/>
      <c r="F475" s="47" t="s">
        <v>183</v>
      </c>
      <c r="G475" s="42" t="s">
        <v>1041</v>
      </c>
      <c r="H475" s="64" t="s">
        <v>25</v>
      </c>
      <c r="I475" s="53" t="s">
        <v>7</v>
      </c>
      <c r="J475" s="51" t="s">
        <v>10</v>
      </c>
      <c r="K475" s="109" t="s">
        <v>282</v>
      </c>
      <c r="L475" s="51" t="s">
        <v>1054</v>
      </c>
      <c r="M475" s="55">
        <v>2010</v>
      </c>
      <c r="N475" s="55">
        <v>2014</v>
      </c>
      <c r="O475" s="87">
        <v>406</v>
      </c>
      <c r="P475" s="44"/>
      <c r="Q475" s="262">
        <v>79.150999999999996</v>
      </c>
      <c r="R475" s="87">
        <v>80.811339198435974</v>
      </c>
      <c r="S475" s="87"/>
      <c r="T475" s="87"/>
      <c r="U475" s="87"/>
      <c r="V475" s="104"/>
      <c r="W475" s="111" t="s">
        <v>11</v>
      </c>
      <c r="X475" s="111" t="s">
        <v>19</v>
      </c>
      <c r="Y475" s="88" t="s">
        <v>249</v>
      </c>
      <c r="Z475" s="304" t="s">
        <v>1073</v>
      </c>
      <c r="AA475" s="43" t="s">
        <v>1034</v>
      </c>
      <c r="AB475" s="41"/>
      <c r="AC475" s="117" t="s">
        <v>10</v>
      </c>
      <c r="AD47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79.150999999999996</v>
      </c>
      <c r="AE47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80.811339198435974</v>
      </c>
      <c r="AF47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47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475"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475"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75" s="10">
        <f t="shared" si="36"/>
        <v>159.96233919843598</v>
      </c>
      <c r="AK475" s="10">
        <f t="shared" si="38"/>
        <v>0</v>
      </c>
      <c r="AL475" s="10">
        <f t="shared" si="37"/>
        <v>80.811339198435988</v>
      </c>
      <c r="AM475" s="6"/>
    </row>
    <row r="476" spans="1:39" ht="31.5" customHeight="1">
      <c r="A476" s="46" t="s">
        <v>38</v>
      </c>
      <c r="B476" s="46" t="s">
        <v>169</v>
      </c>
      <c r="C476" s="18" t="s">
        <v>923</v>
      </c>
      <c r="D476" s="26"/>
      <c r="E476" s="91"/>
      <c r="F476" s="47" t="s">
        <v>178</v>
      </c>
      <c r="G476" s="42" t="s">
        <v>1035</v>
      </c>
      <c r="H476" s="64" t="s">
        <v>6</v>
      </c>
      <c r="I476" s="53" t="s">
        <v>7</v>
      </c>
      <c r="J476" s="51" t="s">
        <v>10</v>
      </c>
      <c r="K476" s="109" t="s">
        <v>282</v>
      </c>
      <c r="L476" s="51" t="s">
        <v>1054</v>
      </c>
      <c r="M476" s="55" t="s">
        <v>1148</v>
      </c>
      <c r="N476" s="55">
        <v>2019</v>
      </c>
      <c r="O476" s="87">
        <v>312.57</v>
      </c>
      <c r="P476" s="44"/>
      <c r="Q476" s="262">
        <v>73.55</v>
      </c>
      <c r="R476" s="87">
        <v>91.544477028347998</v>
      </c>
      <c r="S476" s="87">
        <v>41.2</v>
      </c>
      <c r="T476" s="87">
        <v>41.2</v>
      </c>
      <c r="U476" s="87">
        <v>41.2</v>
      </c>
      <c r="V476" s="104"/>
      <c r="W476" s="111" t="s">
        <v>11</v>
      </c>
      <c r="X476" s="111" t="s">
        <v>19</v>
      </c>
      <c r="Y476" s="88" t="s">
        <v>249</v>
      </c>
      <c r="Z476" s="304" t="s">
        <v>1074</v>
      </c>
      <c r="AA476" s="43" t="s">
        <v>981</v>
      </c>
      <c r="AB476" s="41" t="s">
        <v>1147</v>
      </c>
      <c r="AC476" s="117" t="s">
        <v>10</v>
      </c>
      <c r="AD47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73.55</v>
      </c>
      <c r="AE47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91.544477028347998</v>
      </c>
      <c r="AF47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41.2</v>
      </c>
      <c r="AG47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41.2</v>
      </c>
      <c r="AH476"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41.2</v>
      </c>
      <c r="AI476"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76" s="10">
        <f t="shared" si="36"/>
        <v>247.494477028348</v>
      </c>
      <c r="AK476" s="10">
        <f t="shared" si="38"/>
        <v>41.2</v>
      </c>
      <c r="AL476" s="10">
        <f t="shared" si="37"/>
        <v>215.14447702834798</v>
      </c>
      <c r="AM476" s="6"/>
    </row>
    <row r="477" spans="1:39" ht="31.5" customHeight="1">
      <c r="A477" s="46" t="s">
        <v>38</v>
      </c>
      <c r="B477" s="46" t="s">
        <v>169</v>
      </c>
      <c r="C477" s="18" t="s">
        <v>923</v>
      </c>
      <c r="D477" s="26"/>
      <c r="E477" s="91"/>
      <c r="F477" s="47" t="s">
        <v>180</v>
      </c>
      <c r="G477" s="42" t="s">
        <v>910</v>
      </c>
      <c r="H477" s="64" t="s">
        <v>18</v>
      </c>
      <c r="I477" s="53" t="s">
        <v>7</v>
      </c>
      <c r="J477" s="51" t="s">
        <v>10</v>
      </c>
      <c r="K477" s="109" t="s">
        <v>282</v>
      </c>
      <c r="L477" s="51" t="s">
        <v>1054</v>
      </c>
      <c r="M477" s="55">
        <v>2010</v>
      </c>
      <c r="N477" s="55">
        <v>2014</v>
      </c>
      <c r="O477" s="87">
        <v>514</v>
      </c>
      <c r="P477" s="44"/>
      <c r="Q477" s="262">
        <v>124.6</v>
      </c>
      <c r="R477" s="87">
        <v>86.246334310850443</v>
      </c>
      <c r="S477" s="87"/>
      <c r="T477" s="87"/>
      <c r="U477" s="87"/>
      <c r="V477" s="104"/>
      <c r="W477" s="111" t="s">
        <v>11</v>
      </c>
      <c r="X477" s="111" t="s">
        <v>19</v>
      </c>
      <c r="Y477" s="88" t="s">
        <v>249</v>
      </c>
      <c r="Z477" s="304" t="s">
        <v>1073</v>
      </c>
      <c r="AA477" s="43" t="s">
        <v>1034</v>
      </c>
      <c r="AB477" s="41" t="s">
        <v>1239</v>
      </c>
      <c r="AC477" s="117" t="s">
        <v>10</v>
      </c>
      <c r="AD47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124.6</v>
      </c>
      <c r="AE47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86.246334310850429</v>
      </c>
      <c r="AF47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47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477"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477"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77" s="10">
        <f t="shared" si="36"/>
        <v>210.84633431085041</v>
      </c>
      <c r="AK477" s="10">
        <f t="shared" si="38"/>
        <v>0</v>
      </c>
      <c r="AL477" s="10">
        <f t="shared" si="37"/>
        <v>86.246334310850415</v>
      </c>
      <c r="AM477" s="6"/>
    </row>
    <row r="478" spans="1:39" ht="31.5" customHeight="1">
      <c r="A478" s="46" t="s">
        <v>38</v>
      </c>
      <c r="B478" s="46" t="s">
        <v>169</v>
      </c>
      <c r="C478" s="18" t="s">
        <v>923</v>
      </c>
      <c r="D478" s="26"/>
      <c r="E478" s="91"/>
      <c r="F478" s="47" t="s">
        <v>188</v>
      </c>
      <c r="G478" s="42" t="s">
        <v>911</v>
      </c>
      <c r="H478" s="64" t="s">
        <v>16</v>
      </c>
      <c r="I478" s="53" t="s">
        <v>7</v>
      </c>
      <c r="J478" s="51" t="s">
        <v>10</v>
      </c>
      <c r="K478" s="109" t="s">
        <v>282</v>
      </c>
      <c r="L478" s="51" t="s">
        <v>1054</v>
      </c>
      <c r="M478" s="55" t="s">
        <v>1148</v>
      </c>
      <c r="N478" s="55">
        <v>2014</v>
      </c>
      <c r="O478" s="87">
        <v>99</v>
      </c>
      <c r="P478" s="44"/>
      <c r="Q478" s="262">
        <v>24.334</v>
      </c>
      <c r="R478" s="87">
        <v>27.614858260019552</v>
      </c>
      <c r="S478" s="87"/>
      <c r="T478" s="87"/>
      <c r="U478" s="87"/>
      <c r="V478" s="104"/>
      <c r="W478" s="111" t="s">
        <v>11</v>
      </c>
      <c r="X478" s="111" t="s">
        <v>19</v>
      </c>
      <c r="Y478" s="88" t="s">
        <v>249</v>
      </c>
      <c r="Z478" s="304" t="s">
        <v>1073</v>
      </c>
      <c r="AA478" s="43" t="s">
        <v>1034</v>
      </c>
      <c r="AB478" s="41"/>
      <c r="AC478" s="117"/>
      <c r="AD47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24.334</v>
      </c>
      <c r="AE47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27.614858260019549</v>
      </c>
      <c r="AF47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47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478"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478"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78" s="10">
        <f t="shared" si="36"/>
        <v>51.948858260019549</v>
      </c>
      <c r="AK478" s="10">
        <f t="shared" si="38"/>
        <v>0</v>
      </c>
      <c r="AL478" s="10">
        <f t="shared" si="37"/>
        <v>27.614858260019549</v>
      </c>
      <c r="AM478" s="6"/>
    </row>
    <row r="479" spans="1:39" ht="31.5" customHeight="1">
      <c r="A479" s="46" t="s">
        <v>38</v>
      </c>
      <c r="B479" s="46" t="s">
        <v>169</v>
      </c>
      <c r="C479" s="18" t="s">
        <v>923</v>
      </c>
      <c r="D479" s="26"/>
      <c r="E479" s="91"/>
      <c r="F479" s="47" t="s">
        <v>987</v>
      </c>
      <c r="G479" s="42" t="s">
        <v>988</v>
      </c>
      <c r="H479" s="64" t="s">
        <v>24</v>
      </c>
      <c r="I479" s="53" t="s">
        <v>7</v>
      </c>
      <c r="J479" s="51" t="s">
        <v>10</v>
      </c>
      <c r="K479" s="109" t="s">
        <v>282</v>
      </c>
      <c r="L479" s="51" t="s">
        <v>1054</v>
      </c>
      <c r="M479" s="55">
        <v>2009</v>
      </c>
      <c r="N479" s="55">
        <v>2018</v>
      </c>
      <c r="O479" s="87" t="s">
        <v>989</v>
      </c>
      <c r="P479" s="44"/>
      <c r="Q479" s="262">
        <v>403.64</v>
      </c>
      <c r="R479" s="87">
        <v>368.73900293255133</v>
      </c>
      <c r="S479" s="87">
        <v>423.05</v>
      </c>
      <c r="T479" s="87">
        <v>379.85</v>
      </c>
      <c r="U479" s="87">
        <v>384.19</v>
      </c>
      <c r="V479" s="104"/>
      <c r="W479" s="111"/>
      <c r="X479" s="111" t="s">
        <v>19</v>
      </c>
      <c r="Y479" s="88" t="s">
        <v>249</v>
      </c>
      <c r="Z479" s="304" t="s">
        <v>1074</v>
      </c>
      <c r="AA479" s="43" t="s">
        <v>1020</v>
      </c>
      <c r="AB479" s="41" t="s">
        <v>1147</v>
      </c>
      <c r="AC479" s="117" t="s">
        <v>10</v>
      </c>
      <c r="AD47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403.64</v>
      </c>
      <c r="AE47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368.73900293255133</v>
      </c>
      <c r="AF47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423.05</v>
      </c>
      <c r="AG47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379.85</v>
      </c>
      <c r="AH479"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384.19</v>
      </c>
      <c r="AI479"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79" s="10">
        <f t="shared" si="36"/>
        <v>1575.2790029325515</v>
      </c>
      <c r="AK479" s="10">
        <f t="shared" si="38"/>
        <v>384.19</v>
      </c>
      <c r="AL479" s="10">
        <f t="shared" si="37"/>
        <v>1555.8290029325517</v>
      </c>
      <c r="AM479" s="6"/>
    </row>
    <row r="480" spans="1:39" ht="31.5" customHeight="1">
      <c r="A480" s="46" t="s">
        <v>38</v>
      </c>
      <c r="B480" s="46" t="s">
        <v>169</v>
      </c>
      <c r="C480" s="18" t="s">
        <v>923</v>
      </c>
      <c r="D480" s="26"/>
      <c r="E480" s="91"/>
      <c r="F480" s="47" t="s">
        <v>990</v>
      </c>
      <c r="G480" s="42" t="s">
        <v>991</v>
      </c>
      <c r="H480" s="64" t="s">
        <v>6</v>
      </c>
      <c r="I480" s="53" t="s">
        <v>7</v>
      </c>
      <c r="J480" s="51" t="s">
        <v>10</v>
      </c>
      <c r="K480" s="109" t="s">
        <v>282</v>
      </c>
      <c r="L480" s="51" t="s">
        <v>1054</v>
      </c>
      <c r="M480" s="55" t="s">
        <v>1148</v>
      </c>
      <c r="N480" s="55">
        <v>2019</v>
      </c>
      <c r="O480" s="87">
        <v>396.95</v>
      </c>
      <c r="P480" s="44"/>
      <c r="Q480" s="262">
        <v>22.22</v>
      </c>
      <c r="R480" s="87">
        <v>23.264907135874878</v>
      </c>
      <c r="S480" s="87">
        <v>110.34</v>
      </c>
      <c r="T480" s="87">
        <v>152.51</v>
      </c>
      <c r="U480" s="87">
        <v>72</v>
      </c>
      <c r="V480" s="104"/>
      <c r="W480" s="111"/>
      <c r="X480" s="111" t="s">
        <v>19</v>
      </c>
      <c r="Y480" s="88" t="s">
        <v>249</v>
      </c>
      <c r="Z480" s="304" t="s">
        <v>1074</v>
      </c>
      <c r="AA480" s="43" t="s">
        <v>1020</v>
      </c>
      <c r="AB480" s="41" t="s">
        <v>1237</v>
      </c>
      <c r="AC480" s="117" t="s">
        <v>10</v>
      </c>
      <c r="AD48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22.22</v>
      </c>
      <c r="AE48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23.264907135874878</v>
      </c>
      <c r="AF48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110.34</v>
      </c>
      <c r="AG48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152.51</v>
      </c>
      <c r="AH480"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72</v>
      </c>
      <c r="AI480"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80" s="10">
        <f t="shared" si="36"/>
        <v>308.33490713587486</v>
      </c>
      <c r="AK480" s="10">
        <f t="shared" si="38"/>
        <v>72</v>
      </c>
      <c r="AL480" s="10">
        <f t="shared" si="37"/>
        <v>358.11490713587489</v>
      </c>
      <c r="AM480" s="6"/>
    </row>
    <row r="481" spans="1:39" ht="31.5" customHeight="1">
      <c r="A481" s="46" t="s">
        <v>38</v>
      </c>
      <c r="B481" s="46" t="s">
        <v>169</v>
      </c>
      <c r="C481" s="18" t="s">
        <v>921</v>
      </c>
      <c r="D481" s="26"/>
      <c r="E481" s="91"/>
      <c r="F481" s="47" t="s">
        <v>182</v>
      </c>
      <c r="G481" s="42" t="s">
        <v>904</v>
      </c>
      <c r="H481" s="64" t="s">
        <v>18</v>
      </c>
      <c r="I481" s="53" t="s">
        <v>7</v>
      </c>
      <c r="J481" s="51" t="s">
        <v>10</v>
      </c>
      <c r="K481" s="109" t="s">
        <v>282</v>
      </c>
      <c r="L481" s="51" t="s">
        <v>1054</v>
      </c>
      <c r="M481" s="55">
        <v>2009</v>
      </c>
      <c r="N481" s="55">
        <v>2015</v>
      </c>
      <c r="O481" s="87">
        <v>641.5</v>
      </c>
      <c r="P481" s="44">
        <v>429.22</v>
      </c>
      <c r="Q481" s="262">
        <v>33.08</v>
      </c>
      <c r="R481" s="87">
        <v>123.34310850439883</v>
      </c>
      <c r="S481" s="87">
        <v>7.4484398100000009</v>
      </c>
      <c r="T481" s="87"/>
      <c r="U481" s="87"/>
      <c r="V481" s="104"/>
      <c r="W481" s="111" t="s">
        <v>11</v>
      </c>
      <c r="X481" s="111" t="s">
        <v>19</v>
      </c>
      <c r="Y481" s="88" t="s">
        <v>249</v>
      </c>
      <c r="Z481" s="304" t="s">
        <v>1073</v>
      </c>
      <c r="AA481" s="43" t="s">
        <v>1034</v>
      </c>
      <c r="AB481" s="41"/>
      <c r="AC481" s="117" t="s">
        <v>10</v>
      </c>
      <c r="AD48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33.08</v>
      </c>
      <c r="AE48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123.34310850439883</v>
      </c>
      <c r="AF48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7.4484398100000009</v>
      </c>
      <c r="AG48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481"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481"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81" s="10">
        <f t="shared" si="36"/>
        <v>163.87154831439884</v>
      </c>
      <c r="AK481" s="10">
        <f t="shared" si="38"/>
        <v>0</v>
      </c>
      <c r="AL481" s="10">
        <f t="shared" si="37"/>
        <v>130.79154831439882</v>
      </c>
      <c r="AM481" s="6"/>
    </row>
    <row r="482" spans="1:39" ht="31.5" customHeight="1">
      <c r="A482" s="46" t="s">
        <v>38</v>
      </c>
      <c r="B482" s="46" t="s">
        <v>169</v>
      </c>
      <c r="C482" s="18" t="s">
        <v>921</v>
      </c>
      <c r="D482" s="47" t="s">
        <v>177</v>
      </c>
      <c r="E482" s="91"/>
      <c r="F482" s="26"/>
      <c r="G482" s="42" t="s">
        <v>1042</v>
      </c>
      <c r="H482" s="64" t="s">
        <v>6</v>
      </c>
      <c r="I482" s="53" t="s">
        <v>7</v>
      </c>
      <c r="J482" s="51" t="s">
        <v>10</v>
      </c>
      <c r="K482" s="109" t="s">
        <v>282</v>
      </c>
      <c r="L482" s="51" t="s">
        <v>1000</v>
      </c>
      <c r="M482" s="56">
        <v>2009</v>
      </c>
      <c r="N482" s="56">
        <v>2019</v>
      </c>
      <c r="O482" s="87">
        <v>370</v>
      </c>
      <c r="P482" s="44"/>
      <c r="Q482" s="262">
        <v>41.093000000000004</v>
      </c>
      <c r="R482" s="87">
        <v>32.932551319648091</v>
      </c>
      <c r="S482" s="87">
        <v>41.2</v>
      </c>
      <c r="T482" s="87">
        <v>41.2</v>
      </c>
      <c r="U482" s="87">
        <v>41.2</v>
      </c>
      <c r="V482" s="104"/>
      <c r="W482" s="111" t="s">
        <v>11</v>
      </c>
      <c r="X482" s="111" t="s">
        <v>19</v>
      </c>
      <c r="Y482" s="88" t="s">
        <v>249</v>
      </c>
      <c r="Z482" s="304" t="s">
        <v>1075</v>
      </c>
      <c r="AA482" s="43" t="s">
        <v>1034</v>
      </c>
      <c r="AB482" s="41" t="s">
        <v>1147</v>
      </c>
      <c r="AC482" s="117"/>
      <c r="AD48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41.093000000000004</v>
      </c>
      <c r="AE48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32.932551319648091</v>
      </c>
      <c r="AF48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41.2</v>
      </c>
      <c r="AG48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41.2</v>
      </c>
      <c r="AH482"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41.2</v>
      </c>
      <c r="AI482"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82" s="10">
        <f t="shared" si="36"/>
        <v>156.42555131964809</v>
      </c>
      <c r="AK482" s="10">
        <f t="shared" si="38"/>
        <v>41.2</v>
      </c>
      <c r="AL482" s="10">
        <f t="shared" si="37"/>
        <v>156.53255131964806</v>
      </c>
      <c r="AM482" s="6"/>
    </row>
    <row r="483" spans="1:39" ht="31.5" customHeight="1">
      <c r="A483" s="46" t="s">
        <v>38</v>
      </c>
      <c r="B483" s="46" t="s">
        <v>169</v>
      </c>
      <c r="C483" s="18" t="s">
        <v>921</v>
      </c>
      <c r="D483" s="26"/>
      <c r="E483" s="27"/>
      <c r="F483" s="26" t="s">
        <v>1256</v>
      </c>
      <c r="G483" s="28"/>
      <c r="H483" s="167" t="s">
        <v>16</v>
      </c>
      <c r="I483" s="53" t="s">
        <v>7</v>
      </c>
      <c r="J483" s="51" t="s">
        <v>10</v>
      </c>
      <c r="K483" s="109" t="s">
        <v>282</v>
      </c>
      <c r="L483" s="168" t="s">
        <v>444</v>
      </c>
      <c r="M483" s="169" t="s">
        <v>27</v>
      </c>
      <c r="N483" s="169" t="s">
        <v>27</v>
      </c>
      <c r="O483" s="171"/>
      <c r="P483" s="170"/>
      <c r="Q483" s="252"/>
      <c r="R483" s="171"/>
      <c r="S483" s="171"/>
      <c r="T483" s="171"/>
      <c r="U483" s="171"/>
      <c r="V483" s="171"/>
      <c r="W483" s="119"/>
      <c r="X483" s="172"/>
      <c r="Y483" s="173"/>
      <c r="Z483" s="306" t="s">
        <v>1075</v>
      </c>
      <c r="AA483" s="17"/>
      <c r="AB483" s="26"/>
      <c r="AC483" s="117" t="s">
        <v>10</v>
      </c>
      <c r="AD48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48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48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48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483"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483"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83" s="10">
        <f t="shared" si="36"/>
        <v>0</v>
      </c>
      <c r="AK483" s="10">
        <f t="shared" ref="AK483" si="39">+SUM(AH483:AI483)</f>
        <v>0</v>
      </c>
      <c r="AL483" s="10">
        <f t="shared" si="37"/>
        <v>0</v>
      </c>
      <c r="AM483" s="6"/>
    </row>
    <row r="484" spans="1:39" ht="31.5" customHeight="1">
      <c r="A484" s="46" t="s">
        <v>38</v>
      </c>
      <c r="B484" s="46" t="s">
        <v>169</v>
      </c>
      <c r="C484" s="18" t="s">
        <v>921</v>
      </c>
      <c r="D484" s="26"/>
      <c r="E484" s="27"/>
      <c r="F484" s="47" t="s">
        <v>1046</v>
      </c>
      <c r="G484" s="28"/>
      <c r="H484" s="64" t="s">
        <v>21</v>
      </c>
      <c r="I484" s="66" t="s">
        <v>7</v>
      </c>
      <c r="J484" s="51" t="s">
        <v>10</v>
      </c>
      <c r="K484" s="109" t="s">
        <v>282</v>
      </c>
      <c r="L484" s="51" t="s">
        <v>1054</v>
      </c>
      <c r="M484" s="55" t="s">
        <v>9</v>
      </c>
      <c r="N484" s="55">
        <v>2015</v>
      </c>
      <c r="O484" s="104"/>
      <c r="P484" s="29"/>
      <c r="Q484" s="251"/>
      <c r="R484" s="104"/>
      <c r="S484" s="104"/>
      <c r="T484" s="104"/>
      <c r="U484" s="104"/>
      <c r="V484" s="104"/>
      <c r="W484" s="119"/>
      <c r="X484" s="120"/>
      <c r="Y484" s="88"/>
      <c r="Z484" s="306" t="s">
        <v>1075</v>
      </c>
      <c r="AA484" s="17"/>
      <c r="AB484" s="26" t="s">
        <v>1047</v>
      </c>
      <c r="AC484" s="117" t="s">
        <v>10</v>
      </c>
      <c r="AD48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48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48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48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484"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484"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84" s="10">
        <f t="shared" si="36"/>
        <v>0</v>
      </c>
      <c r="AK484" s="10">
        <f t="shared" si="38"/>
        <v>0</v>
      </c>
      <c r="AL484" s="10">
        <f t="shared" si="37"/>
        <v>0</v>
      </c>
      <c r="AM484" s="6"/>
    </row>
    <row r="485" spans="1:39" ht="31.5" customHeight="1">
      <c r="A485" s="46" t="s">
        <v>38</v>
      </c>
      <c r="B485" s="46" t="s">
        <v>169</v>
      </c>
      <c r="C485" s="18" t="s">
        <v>921</v>
      </c>
      <c r="D485" s="26"/>
      <c r="E485" s="27"/>
      <c r="F485" s="47" t="s">
        <v>1048</v>
      </c>
      <c r="G485" s="28"/>
      <c r="H485" s="64" t="s">
        <v>26</v>
      </c>
      <c r="I485" s="66" t="s">
        <v>7</v>
      </c>
      <c r="J485" s="51" t="s">
        <v>10</v>
      </c>
      <c r="K485" s="109" t="s">
        <v>282</v>
      </c>
      <c r="L485" s="51" t="s">
        <v>1054</v>
      </c>
      <c r="M485" s="55" t="s">
        <v>9</v>
      </c>
      <c r="N485" s="55">
        <v>2014</v>
      </c>
      <c r="O485" s="104"/>
      <c r="P485" s="29"/>
      <c r="Q485" s="251"/>
      <c r="R485" s="104"/>
      <c r="S485" s="104"/>
      <c r="T485" s="104"/>
      <c r="U485" s="104"/>
      <c r="V485" s="104"/>
      <c r="W485" s="119"/>
      <c r="X485" s="120"/>
      <c r="Y485" s="88"/>
      <c r="Z485" s="306" t="s">
        <v>1075</v>
      </c>
      <c r="AA485" s="17"/>
      <c r="AB485" s="26" t="s">
        <v>1047</v>
      </c>
      <c r="AC485" s="117" t="s">
        <v>10</v>
      </c>
      <c r="AD48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48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48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48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485"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485"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85" s="10">
        <f t="shared" si="36"/>
        <v>0</v>
      </c>
      <c r="AK485" s="10">
        <f t="shared" si="38"/>
        <v>0</v>
      </c>
      <c r="AL485" s="10">
        <f t="shared" si="37"/>
        <v>0</v>
      </c>
      <c r="AM485" s="6"/>
    </row>
    <row r="486" spans="1:39" ht="31.5" customHeight="1">
      <c r="A486" s="46" t="s">
        <v>38</v>
      </c>
      <c r="B486" s="46" t="s">
        <v>169</v>
      </c>
      <c r="C486" s="18" t="s">
        <v>921</v>
      </c>
      <c r="D486" s="26"/>
      <c r="E486" s="91"/>
      <c r="F486" s="47" t="s">
        <v>181</v>
      </c>
      <c r="G486" s="42" t="s">
        <v>1043</v>
      </c>
      <c r="H486" s="64" t="s">
        <v>25</v>
      </c>
      <c r="I486" s="53" t="s">
        <v>7</v>
      </c>
      <c r="J486" s="51" t="s">
        <v>10</v>
      </c>
      <c r="K486" s="109" t="s">
        <v>282</v>
      </c>
      <c r="L486" s="51" t="s">
        <v>1054</v>
      </c>
      <c r="M486" s="55">
        <v>2010</v>
      </c>
      <c r="N486" s="55">
        <v>2015</v>
      </c>
      <c r="O486" s="87">
        <v>679.5</v>
      </c>
      <c r="P486" s="44"/>
      <c r="Q486" s="262">
        <v>222.691</v>
      </c>
      <c r="R486" s="87">
        <v>165.60117302052785</v>
      </c>
      <c r="S486" s="87">
        <v>32.729999999999997</v>
      </c>
      <c r="T486" s="87"/>
      <c r="U486" s="87"/>
      <c r="V486" s="104"/>
      <c r="W486" s="111" t="s">
        <v>11</v>
      </c>
      <c r="X486" s="111" t="s">
        <v>19</v>
      </c>
      <c r="Y486" s="88" t="s">
        <v>249</v>
      </c>
      <c r="Z486" s="304" t="s">
        <v>1075</v>
      </c>
      <c r="AA486" s="43" t="s">
        <v>1034</v>
      </c>
      <c r="AB486" s="41"/>
      <c r="AC486" s="117" t="s">
        <v>10</v>
      </c>
      <c r="AD48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222.69099999999997</v>
      </c>
      <c r="AE48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165.60117302052785</v>
      </c>
      <c r="AF48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32.729999999999997</v>
      </c>
      <c r="AG48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486"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486"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86" s="10">
        <f t="shared" si="36"/>
        <v>421.02217302052782</v>
      </c>
      <c r="AK486" s="10">
        <f t="shared" si="38"/>
        <v>0</v>
      </c>
      <c r="AL486" s="10">
        <f t="shared" si="37"/>
        <v>198.33117302052784</v>
      </c>
      <c r="AM486" s="6"/>
    </row>
    <row r="487" spans="1:39" ht="31.5" customHeight="1">
      <c r="A487" s="5" t="s">
        <v>38</v>
      </c>
      <c r="B487" s="5" t="s">
        <v>83</v>
      </c>
      <c r="C487" s="5" t="s">
        <v>302</v>
      </c>
      <c r="D487" s="26"/>
      <c r="E487" s="57"/>
      <c r="F487" s="5" t="s">
        <v>99</v>
      </c>
      <c r="G487" s="5" t="s">
        <v>88</v>
      </c>
      <c r="H487" s="64" t="s">
        <v>20</v>
      </c>
      <c r="I487" s="57" t="s">
        <v>15</v>
      </c>
      <c r="J487" s="51" t="s">
        <v>8</v>
      </c>
      <c r="K487" s="57" t="s">
        <v>15</v>
      </c>
      <c r="L487" s="98" t="s">
        <v>1054</v>
      </c>
      <c r="M487" s="55">
        <v>2013</v>
      </c>
      <c r="N487" s="55" t="s">
        <v>247</v>
      </c>
      <c r="O487" s="104">
        <v>41.987376398455218</v>
      </c>
      <c r="P487" s="29"/>
      <c r="Q487" s="251">
        <v>1.07</v>
      </c>
      <c r="R487" s="104">
        <v>19.342665682656829</v>
      </c>
      <c r="S487" s="104">
        <v>21.554710715798389</v>
      </c>
      <c r="T487" s="104"/>
      <c r="U487" s="104"/>
      <c r="V487" s="104"/>
      <c r="W487" s="57" t="s">
        <v>13</v>
      </c>
      <c r="X487" s="57" t="s">
        <v>12</v>
      </c>
      <c r="Y487" s="92"/>
      <c r="Z487" s="308" t="s">
        <v>1076</v>
      </c>
      <c r="AA487" s="5" t="s">
        <v>86</v>
      </c>
      <c r="AB487" s="5" t="s">
        <v>1290</v>
      </c>
      <c r="AC487" s="117"/>
      <c r="AD48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1.07</v>
      </c>
      <c r="AE48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18.907786591062393</v>
      </c>
      <c r="AF48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20.677231061252037</v>
      </c>
      <c r="AG48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487"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487"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87" s="10">
        <f t="shared" si="36"/>
        <v>40.655017652314427</v>
      </c>
      <c r="AK487" s="10">
        <f t="shared" si="38"/>
        <v>0</v>
      </c>
      <c r="AL487" s="10">
        <f t="shared" si="37"/>
        <v>39.585017652314427</v>
      </c>
      <c r="AM487" s="6"/>
    </row>
    <row r="488" spans="1:39" ht="31.5" customHeight="1">
      <c r="A488" s="5" t="s">
        <v>38</v>
      </c>
      <c r="B488" s="5" t="s">
        <v>83</v>
      </c>
      <c r="C488" s="5" t="s">
        <v>302</v>
      </c>
      <c r="D488" s="26"/>
      <c r="E488" s="57"/>
      <c r="F488" s="5" t="s">
        <v>100</v>
      </c>
      <c r="G488" s="5" t="s">
        <v>88</v>
      </c>
      <c r="H488" s="64" t="s">
        <v>18</v>
      </c>
      <c r="I488" s="57" t="s">
        <v>15</v>
      </c>
      <c r="J488" s="51" t="s">
        <v>8</v>
      </c>
      <c r="K488" s="57" t="s">
        <v>15</v>
      </c>
      <c r="L488" s="98" t="s">
        <v>1054</v>
      </c>
      <c r="M488" s="55" t="s">
        <v>1255</v>
      </c>
      <c r="N488" s="55" t="s">
        <v>245</v>
      </c>
      <c r="O488" s="104">
        <v>129.41325959132107</v>
      </c>
      <c r="P488" s="29"/>
      <c r="Q488" s="251">
        <v>2.48</v>
      </c>
      <c r="R488" s="104">
        <v>34.266875276752771</v>
      </c>
      <c r="S488" s="104">
        <v>22.754183820415079</v>
      </c>
      <c r="T488" s="104">
        <v>40.182922434367548</v>
      </c>
      <c r="U488" s="104">
        <v>29.359278059785673</v>
      </c>
      <c r="V488" s="104"/>
      <c r="W488" s="57" t="s">
        <v>13</v>
      </c>
      <c r="X488" s="57" t="s">
        <v>12</v>
      </c>
      <c r="Y488" s="92"/>
      <c r="Z488" s="308" t="s">
        <v>1076</v>
      </c>
      <c r="AA488" s="5" t="s">
        <v>86</v>
      </c>
      <c r="AB488" s="5" t="s">
        <v>1290</v>
      </c>
      <c r="AC488" s="117"/>
      <c r="AD48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2.48</v>
      </c>
      <c r="AE48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33.496456771019325</v>
      </c>
      <c r="AF48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21.827874317982843</v>
      </c>
      <c r="AG48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37.865519829275698</v>
      </c>
      <c r="AH488"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27.203627756107196</v>
      </c>
      <c r="AI488"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88" s="10">
        <f t="shared" si="36"/>
        <v>95.669850918277859</v>
      </c>
      <c r="AK488" s="10">
        <f t="shared" si="38"/>
        <v>27.203627756107196</v>
      </c>
      <c r="AL488" s="10">
        <f t="shared" si="37"/>
        <v>120.39347867438505</v>
      </c>
      <c r="AM488" s="6"/>
    </row>
    <row r="489" spans="1:39" ht="31.5" customHeight="1">
      <c r="A489" s="5" t="s">
        <v>38</v>
      </c>
      <c r="B489" s="5" t="s">
        <v>83</v>
      </c>
      <c r="C489" s="5" t="s">
        <v>302</v>
      </c>
      <c r="D489" s="26"/>
      <c r="E489" s="57"/>
      <c r="F489" s="5" t="s">
        <v>101</v>
      </c>
      <c r="G489" s="5" t="s">
        <v>88</v>
      </c>
      <c r="H489" s="64" t="s">
        <v>20</v>
      </c>
      <c r="I489" s="57" t="s">
        <v>15</v>
      </c>
      <c r="J489" s="51" t="s">
        <v>8</v>
      </c>
      <c r="K489" s="57" t="s">
        <v>15</v>
      </c>
      <c r="L489" s="98" t="s">
        <v>1054</v>
      </c>
      <c r="M489" s="55" t="s">
        <v>1010</v>
      </c>
      <c r="N489" s="55" t="s">
        <v>247</v>
      </c>
      <c r="O489" s="104">
        <v>130.12</v>
      </c>
      <c r="P489" s="29"/>
      <c r="Q489" s="251">
        <v>21.17</v>
      </c>
      <c r="R489" s="104">
        <v>60.13</v>
      </c>
      <c r="S489" s="104">
        <v>43.12</v>
      </c>
      <c r="T489" s="104">
        <v>4.79</v>
      </c>
      <c r="U489" s="104"/>
      <c r="V489" s="104"/>
      <c r="W489" s="57" t="s">
        <v>13</v>
      </c>
      <c r="X489" s="57" t="s">
        <v>12</v>
      </c>
      <c r="Y489" s="92"/>
      <c r="Z489" s="308" t="s">
        <v>1076</v>
      </c>
      <c r="AA489" s="5" t="s">
        <v>86</v>
      </c>
      <c r="AB489" s="5" t="s">
        <v>1290</v>
      </c>
      <c r="AC489" s="117" t="s">
        <v>10</v>
      </c>
      <c r="AD48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21.17</v>
      </c>
      <c r="AE48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58.778103616813297</v>
      </c>
      <c r="AF48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41.364610043580576</v>
      </c>
      <c r="AG48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4.5137543263180859</v>
      </c>
      <c r="AH489"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489"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89" s="10">
        <f t="shared" si="36"/>
        <v>125.82646798671198</v>
      </c>
      <c r="AK489" s="10">
        <f t="shared" si="38"/>
        <v>0</v>
      </c>
      <c r="AL489" s="10">
        <f t="shared" si="37"/>
        <v>104.65646798671197</v>
      </c>
      <c r="AM489" s="6"/>
    </row>
    <row r="490" spans="1:39" ht="31.5" customHeight="1">
      <c r="A490" s="5" t="s">
        <v>38</v>
      </c>
      <c r="B490" s="5" t="s">
        <v>83</v>
      </c>
      <c r="C490" s="5" t="s">
        <v>302</v>
      </c>
      <c r="D490" s="26"/>
      <c r="E490" s="57"/>
      <c r="F490" s="5" t="s">
        <v>96</v>
      </c>
      <c r="G490" s="5" t="s">
        <v>167</v>
      </c>
      <c r="H490" s="64" t="s">
        <v>18</v>
      </c>
      <c r="I490" s="57" t="s">
        <v>15</v>
      </c>
      <c r="J490" s="51" t="s">
        <v>8</v>
      </c>
      <c r="K490" s="57" t="s">
        <v>15</v>
      </c>
      <c r="L490" s="98" t="s">
        <v>1054</v>
      </c>
      <c r="M490" s="55" t="s">
        <v>1255</v>
      </c>
      <c r="N490" s="55" t="s">
        <v>246</v>
      </c>
      <c r="O490" s="104">
        <v>230.84594082691436</v>
      </c>
      <c r="P490" s="29"/>
      <c r="Q490" s="251">
        <v>4.42</v>
      </c>
      <c r="R490" s="104">
        <v>41.053496678966788</v>
      </c>
      <c r="S490" s="104">
        <v>52.624644642100805</v>
      </c>
      <c r="T490" s="104">
        <v>94.027077565632467</v>
      </c>
      <c r="U490" s="104">
        <v>38.64072194021432</v>
      </c>
      <c r="V490" s="104"/>
      <c r="W490" s="57" t="s">
        <v>13</v>
      </c>
      <c r="X490" s="57" t="s">
        <v>12</v>
      </c>
      <c r="Y490" s="92"/>
      <c r="Z490" s="308" t="s">
        <v>1077</v>
      </c>
      <c r="AA490" s="5" t="s">
        <v>86</v>
      </c>
      <c r="AB490" s="5" t="s">
        <v>1290</v>
      </c>
      <c r="AC490" s="117" t="s">
        <v>10</v>
      </c>
      <c r="AD49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4.42</v>
      </c>
      <c r="AE49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40.130495287357562</v>
      </c>
      <c r="AF49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50.482326166570076</v>
      </c>
      <c r="AG49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88.604410887874693</v>
      </c>
      <c r="AH490"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35.803598908266487</v>
      </c>
      <c r="AI490"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90" s="10">
        <f t="shared" si="36"/>
        <v>183.63723234180233</v>
      </c>
      <c r="AK490" s="10">
        <f t="shared" si="38"/>
        <v>35.803598908266487</v>
      </c>
      <c r="AL490" s="10">
        <f t="shared" si="37"/>
        <v>215.02083125006882</v>
      </c>
      <c r="AM490" s="6"/>
    </row>
    <row r="491" spans="1:39" ht="31.5" customHeight="1">
      <c r="A491" s="5" t="s">
        <v>38</v>
      </c>
      <c r="B491" s="5" t="s">
        <v>83</v>
      </c>
      <c r="C491" s="5" t="s">
        <v>304</v>
      </c>
      <c r="D491" s="26"/>
      <c r="E491" s="57"/>
      <c r="F491" s="5" t="s">
        <v>102</v>
      </c>
      <c r="G491" s="5" t="s">
        <v>84</v>
      </c>
      <c r="H491" s="64" t="s">
        <v>25</v>
      </c>
      <c r="I491" s="57" t="s">
        <v>15</v>
      </c>
      <c r="J491" s="51" t="s">
        <v>8</v>
      </c>
      <c r="K491" s="57" t="s">
        <v>15</v>
      </c>
      <c r="L491" s="98" t="s">
        <v>1032</v>
      </c>
      <c r="M491" s="55" t="s">
        <v>1011</v>
      </c>
      <c r="N491" s="55" t="s">
        <v>247</v>
      </c>
      <c r="O491" s="104">
        <v>130.01342318330933</v>
      </c>
      <c r="P491" s="29"/>
      <c r="Q491" s="251">
        <v>2.1800000000000002</v>
      </c>
      <c r="R491" s="104">
        <v>13.016962361623616</v>
      </c>
      <c r="S491" s="104">
        <v>114.40646082168573</v>
      </c>
      <c r="T491" s="104"/>
      <c r="U491" s="104"/>
      <c r="V491" s="104"/>
      <c r="W491" s="57" t="s">
        <v>13</v>
      </c>
      <c r="X491" s="57" t="s">
        <v>12</v>
      </c>
      <c r="Y491" s="90"/>
      <c r="Z491" s="308" t="s">
        <v>1076</v>
      </c>
      <c r="AA491" s="5" t="s">
        <v>86</v>
      </c>
      <c r="AB491" s="5" t="s">
        <v>1291</v>
      </c>
      <c r="AC491" s="117" t="s">
        <v>10</v>
      </c>
      <c r="AD49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2.1800000000000002</v>
      </c>
      <c r="AE49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12.724303383796302</v>
      </c>
      <c r="AF49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109.74904077818202</v>
      </c>
      <c r="AG49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491"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491"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91" s="10">
        <f t="shared" si="36"/>
        <v>124.65334416197832</v>
      </c>
      <c r="AK491" s="10">
        <f t="shared" si="38"/>
        <v>0</v>
      </c>
      <c r="AL491" s="10">
        <f t="shared" si="37"/>
        <v>122.47334416197832</v>
      </c>
      <c r="AM491" s="6"/>
    </row>
    <row r="492" spans="1:39" ht="31.5" customHeight="1">
      <c r="A492" s="5" t="s">
        <v>38</v>
      </c>
      <c r="B492" s="5" t="s">
        <v>83</v>
      </c>
      <c r="C492" s="5" t="s">
        <v>304</v>
      </c>
      <c r="D492" s="26"/>
      <c r="E492" s="57"/>
      <c r="F492" s="5" t="s">
        <v>97</v>
      </c>
      <c r="G492" s="5" t="s">
        <v>84</v>
      </c>
      <c r="H492" s="64" t="s">
        <v>18</v>
      </c>
      <c r="I492" s="57" t="s">
        <v>15</v>
      </c>
      <c r="J492" s="51" t="s">
        <v>8</v>
      </c>
      <c r="K492" s="57" t="s">
        <v>15</v>
      </c>
      <c r="L492" s="98" t="s">
        <v>1054</v>
      </c>
      <c r="M492" s="103">
        <v>41518</v>
      </c>
      <c r="N492" s="55" t="s">
        <v>247</v>
      </c>
      <c r="O492" s="104">
        <v>98.31</v>
      </c>
      <c r="P492" s="29"/>
      <c r="Q492" s="251">
        <v>1.9</v>
      </c>
      <c r="R492" s="104">
        <v>21.79</v>
      </c>
      <c r="S492" s="104">
        <v>66.540000000000006</v>
      </c>
      <c r="T492" s="104">
        <v>8</v>
      </c>
      <c r="U492" s="104"/>
      <c r="V492" s="104"/>
      <c r="W492" s="57" t="s">
        <v>13</v>
      </c>
      <c r="X492" s="57" t="s">
        <v>12</v>
      </c>
      <c r="Y492" s="90"/>
      <c r="Z492" s="308" t="s">
        <v>1076</v>
      </c>
      <c r="AA492" s="5" t="s">
        <v>86</v>
      </c>
      <c r="AB492" s="5" t="s">
        <v>1290</v>
      </c>
      <c r="AC492" s="117" t="s">
        <v>10</v>
      </c>
      <c r="AD49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1.9</v>
      </c>
      <c r="AE49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21.300097751710656</v>
      </c>
      <c r="AF49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63.831195554263729</v>
      </c>
      <c r="AG49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7.5386293550197685</v>
      </c>
      <c r="AH492"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492"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92" s="10">
        <f t="shared" si="36"/>
        <v>94.569922660994152</v>
      </c>
      <c r="AK492" s="10">
        <f t="shared" si="38"/>
        <v>0</v>
      </c>
      <c r="AL492" s="10">
        <f t="shared" si="37"/>
        <v>92.669922660994146</v>
      </c>
      <c r="AM492" s="6"/>
    </row>
    <row r="493" spans="1:39" ht="31.5" customHeight="1">
      <c r="A493" s="5" t="s">
        <v>38</v>
      </c>
      <c r="B493" s="5" t="s">
        <v>83</v>
      </c>
      <c r="C493" s="5" t="s">
        <v>305</v>
      </c>
      <c r="D493" s="26"/>
      <c r="E493" s="57"/>
      <c r="F493" s="5" t="s">
        <v>306</v>
      </c>
      <c r="G493" s="5" t="s">
        <v>307</v>
      </c>
      <c r="H493" s="64" t="s">
        <v>22</v>
      </c>
      <c r="I493" s="57" t="s">
        <v>15</v>
      </c>
      <c r="J493" s="51" t="s">
        <v>8</v>
      </c>
      <c r="K493" s="57" t="s">
        <v>15</v>
      </c>
      <c r="L493" s="98" t="s">
        <v>1032</v>
      </c>
      <c r="M493" s="55" t="s">
        <v>303</v>
      </c>
      <c r="N493" s="55" t="s">
        <v>246</v>
      </c>
      <c r="O493" s="104">
        <v>369.82082367579829</v>
      </c>
      <c r="P493" s="29"/>
      <c r="Q493" s="251">
        <v>3.08</v>
      </c>
      <c r="R493" s="104">
        <v>155.11463297617144</v>
      </c>
      <c r="S493" s="104">
        <v>76.461855508540992</v>
      </c>
      <c r="T493" s="104">
        <v>77.995595113438029</v>
      </c>
      <c r="U493" s="104">
        <v>57.048740077647814</v>
      </c>
      <c r="V493" s="104"/>
      <c r="W493" s="57" t="s">
        <v>13</v>
      </c>
      <c r="X493" s="57" t="s">
        <v>12</v>
      </c>
      <c r="Y493" s="92"/>
      <c r="Z493" s="308" t="s">
        <v>1076</v>
      </c>
      <c r="AA493" s="5" t="s">
        <v>86</v>
      </c>
      <c r="AB493" s="5" t="s">
        <v>1291</v>
      </c>
      <c r="AC493" s="117" t="s">
        <v>10</v>
      </c>
      <c r="AD49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3.08</v>
      </c>
      <c r="AE49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151.62720721033375</v>
      </c>
      <c r="AF49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73.349138133566825</v>
      </c>
      <c r="AG49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73.497485360550044</v>
      </c>
      <c r="AH493"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52.860042602783757</v>
      </c>
      <c r="AI493"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93" s="10">
        <f t="shared" si="36"/>
        <v>301.55383070445066</v>
      </c>
      <c r="AK493" s="10">
        <f t="shared" si="38"/>
        <v>52.860042602783757</v>
      </c>
      <c r="AL493" s="10">
        <f t="shared" si="37"/>
        <v>351.33387330723446</v>
      </c>
      <c r="AM493" s="6"/>
    </row>
    <row r="494" spans="1:39" ht="31.5" customHeight="1">
      <c r="A494" s="5" t="s">
        <v>38</v>
      </c>
      <c r="B494" s="5" t="s">
        <v>83</v>
      </c>
      <c r="C494" s="5" t="s">
        <v>305</v>
      </c>
      <c r="D494" s="26"/>
      <c r="E494" s="57"/>
      <c r="F494" s="5" t="s">
        <v>308</v>
      </c>
      <c r="G494" s="5" t="s">
        <v>307</v>
      </c>
      <c r="H494" s="64" t="s">
        <v>22</v>
      </c>
      <c r="I494" s="57" t="s">
        <v>15</v>
      </c>
      <c r="J494" s="51" t="s">
        <v>8</v>
      </c>
      <c r="K494" s="57" t="s">
        <v>15</v>
      </c>
      <c r="L494" s="98" t="s">
        <v>1032</v>
      </c>
      <c r="M494" s="55" t="s">
        <v>107</v>
      </c>
      <c r="N494" s="55" t="s">
        <v>246</v>
      </c>
      <c r="O494" s="104">
        <v>42.965475212565714</v>
      </c>
      <c r="P494" s="29"/>
      <c r="Q494" s="251">
        <v>0.06</v>
      </c>
      <c r="R494" s="104">
        <v>14.417559571405727</v>
      </c>
      <c r="S494" s="104">
        <v>6.6432168416653612</v>
      </c>
      <c r="T494" s="104">
        <v>21.589994182664338</v>
      </c>
      <c r="U494" s="104">
        <v>0.25470461683028761</v>
      </c>
      <c r="V494" s="104"/>
      <c r="W494" s="57" t="s">
        <v>13</v>
      </c>
      <c r="X494" s="57" t="s">
        <v>12</v>
      </c>
      <c r="Y494" s="92"/>
      <c r="Z494" s="308" t="s">
        <v>1076</v>
      </c>
      <c r="AA494" s="5" t="s">
        <v>86</v>
      </c>
      <c r="AB494" s="5" t="s">
        <v>1291</v>
      </c>
      <c r="AC494" s="117"/>
      <c r="AD49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0.06</v>
      </c>
      <c r="AE49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14.093411115743624</v>
      </c>
      <c r="AF49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6.3727753731547914</v>
      </c>
      <c r="AG49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20.344870490017424</v>
      </c>
      <c r="AH494"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0.2360034047807115</v>
      </c>
      <c r="AI494"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94" s="10">
        <f t="shared" si="36"/>
        <v>40.871056978915846</v>
      </c>
      <c r="AK494" s="10">
        <f t="shared" si="38"/>
        <v>0.2360034047807115</v>
      </c>
      <c r="AL494" s="10">
        <f t="shared" si="37"/>
        <v>41.047060383696554</v>
      </c>
      <c r="AM494" s="6"/>
    </row>
    <row r="495" spans="1:39" ht="31.5" customHeight="1">
      <c r="A495" s="5" t="s">
        <v>38</v>
      </c>
      <c r="B495" s="5" t="s">
        <v>83</v>
      </c>
      <c r="C495" s="5" t="s">
        <v>305</v>
      </c>
      <c r="D495" s="26"/>
      <c r="E495" s="57"/>
      <c r="F495" s="5" t="s">
        <v>309</v>
      </c>
      <c r="G495" s="5" t="s">
        <v>310</v>
      </c>
      <c r="H495" s="64" t="s">
        <v>16</v>
      </c>
      <c r="I495" s="57" t="s">
        <v>15</v>
      </c>
      <c r="J495" s="51" t="s">
        <v>8</v>
      </c>
      <c r="K495" s="57" t="s">
        <v>15</v>
      </c>
      <c r="L495" s="98" t="s">
        <v>1032</v>
      </c>
      <c r="M495" s="55" t="s">
        <v>107</v>
      </c>
      <c r="N495" s="55" t="s">
        <v>246</v>
      </c>
      <c r="O495" s="104">
        <v>30</v>
      </c>
      <c r="P495" s="29"/>
      <c r="Q495" s="251"/>
      <c r="R495" s="104"/>
      <c r="S495" s="104">
        <v>8.3000000000000007</v>
      </c>
      <c r="T495" s="104">
        <v>21.7</v>
      </c>
      <c r="U495" s="104"/>
      <c r="V495" s="104"/>
      <c r="W495" s="57" t="s">
        <v>13</v>
      </c>
      <c r="X495" s="57" t="s">
        <v>12</v>
      </c>
      <c r="Y495" s="92"/>
      <c r="Z495" s="308" t="s">
        <v>1076</v>
      </c>
      <c r="AA495" s="5" t="s">
        <v>86</v>
      </c>
      <c r="AB495" s="5" t="s">
        <v>1291</v>
      </c>
      <c r="AC495" s="117"/>
      <c r="AD49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49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49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7.9621118590380062</v>
      </c>
      <c r="AG49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20.44853212549112</v>
      </c>
      <c r="AH495"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495"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95" s="10">
        <f t="shared" si="36"/>
        <v>28.410643984529127</v>
      </c>
      <c r="AK495" s="10">
        <f t="shared" si="38"/>
        <v>0</v>
      </c>
      <c r="AL495" s="10">
        <f t="shared" si="37"/>
        <v>28.410643984529127</v>
      </c>
      <c r="AM495" s="6"/>
    </row>
    <row r="496" spans="1:39" ht="31.5" customHeight="1">
      <c r="A496" s="5" t="s">
        <v>38</v>
      </c>
      <c r="B496" s="5" t="s">
        <v>83</v>
      </c>
      <c r="C496" s="5" t="s">
        <v>305</v>
      </c>
      <c r="D496" s="26"/>
      <c r="E496" s="57"/>
      <c r="F496" s="5" t="s">
        <v>93</v>
      </c>
      <c r="G496" s="5" t="s">
        <v>168</v>
      </c>
      <c r="H496" s="64" t="s">
        <v>26</v>
      </c>
      <c r="I496" s="57" t="s">
        <v>15</v>
      </c>
      <c r="J496" s="51" t="s">
        <v>8</v>
      </c>
      <c r="K496" s="57" t="s">
        <v>282</v>
      </c>
      <c r="L496" s="98" t="s">
        <v>1032</v>
      </c>
      <c r="M496" s="55" t="s">
        <v>107</v>
      </c>
      <c r="N496" s="55" t="s">
        <v>247</v>
      </c>
      <c r="O496" s="104">
        <v>126.82746933692786</v>
      </c>
      <c r="P496" s="29"/>
      <c r="Q496" s="251">
        <v>1.47</v>
      </c>
      <c r="R496" s="104">
        <v>23.93772589157205</v>
      </c>
      <c r="S496" s="104">
        <v>20.844543697435096</v>
      </c>
      <c r="T496" s="104">
        <v>57.631355439208832</v>
      </c>
      <c r="U496" s="104">
        <v>21.86384430871189</v>
      </c>
      <c r="V496" s="104"/>
      <c r="W496" s="57" t="s">
        <v>13</v>
      </c>
      <c r="X496" s="57" t="s">
        <v>12</v>
      </c>
      <c r="Y496" s="92"/>
      <c r="Z496" s="308" t="s">
        <v>1076</v>
      </c>
      <c r="AA496" s="5" t="s">
        <v>86</v>
      </c>
      <c r="AB496" s="5" t="s">
        <v>1291</v>
      </c>
      <c r="AC496" s="117" t="s">
        <v>10</v>
      </c>
      <c r="AD49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1.47</v>
      </c>
      <c r="AE49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23.39953655090132</v>
      </c>
      <c r="AF49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19.995974526455889</v>
      </c>
      <c r="AG49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54.307678485449735</v>
      </c>
      <c r="AH496"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20.258532266376275</v>
      </c>
      <c r="AI496"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96" s="10">
        <f t="shared" si="36"/>
        <v>99.173189562806954</v>
      </c>
      <c r="AK496" s="10">
        <f t="shared" si="38"/>
        <v>20.258532266376275</v>
      </c>
      <c r="AL496" s="10">
        <f t="shared" si="37"/>
        <v>117.96172182918323</v>
      </c>
      <c r="AM496" s="6"/>
    </row>
    <row r="497" spans="1:39" ht="31.5" customHeight="1">
      <c r="A497" s="5" t="s">
        <v>38</v>
      </c>
      <c r="B497" s="5" t="s">
        <v>83</v>
      </c>
      <c r="C497" s="5" t="s">
        <v>305</v>
      </c>
      <c r="D497" s="26"/>
      <c r="E497" s="57"/>
      <c r="F497" s="5" t="s">
        <v>95</v>
      </c>
      <c r="G497" s="5" t="s">
        <v>88</v>
      </c>
      <c r="H497" s="64" t="s">
        <v>25</v>
      </c>
      <c r="I497" s="57" t="s">
        <v>15</v>
      </c>
      <c r="J497" s="51" t="s">
        <v>8</v>
      </c>
      <c r="K497" s="57" t="s">
        <v>15</v>
      </c>
      <c r="L497" s="98" t="s">
        <v>1032</v>
      </c>
      <c r="M497" s="55" t="s">
        <v>248</v>
      </c>
      <c r="N497" s="55" t="s">
        <v>245</v>
      </c>
      <c r="O497" s="104">
        <v>63.853485697487329</v>
      </c>
      <c r="P497" s="29"/>
      <c r="Q497" s="251">
        <v>0.21</v>
      </c>
      <c r="R497" s="104">
        <v>11.030577322885017</v>
      </c>
      <c r="S497" s="104">
        <v>15.389322467742778</v>
      </c>
      <c r="T497" s="104">
        <v>32.078552646887722</v>
      </c>
      <c r="U497" s="104">
        <v>5.14503325997181</v>
      </c>
      <c r="V497" s="104"/>
      <c r="W497" s="57" t="s">
        <v>13</v>
      </c>
      <c r="X497" s="57" t="s">
        <v>12</v>
      </c>
      <c r="Y497" s="92"/>
      <c r="Z497" s="308" t="s">
        <v>1076</v>
      </c>
      <c r="AA497" s="5" t="s">
        <v>86</v>
      </c>
      <c r="AB497" s="5" t="s">
        <v>1291</v>
      </c>
      <c r="AC497" s="117"/>
      <c r="AD49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0.21</v>
      </c>
      <c r="AE49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10.782578028235598</v>
      </c>
      <c r="AF49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14.762832159394552</v>
      </c>
      <c r="AG49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30.22853983129686</v>
      </c>
      <c r="AH497"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4.7672687765703721</v>
      </c>
      <c r="AI497"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97" s="10">
        <f t="shared" si="36"/>
        <v>55.983950018927011</v>
      </c>
      <c r="AK497" s="10">
        <f t="shared" si="38"/>
        <v>4.7672687765703721</v>
      </c>
      <c r="AL497" s="10">
        <f t="shared" si="37"/>
        <v>60.541218795497379</v>
      </c>
      <c r="AM497" s="6"/>
    </row>
    <row r="498" spans="1:39" ht="31.5" customHeight="1">
      <c r="A498" s="5" t="s">
        <v>38</v>
      </c>
      <c r="B498" s="5" t="s">
        <v>83</v>
      </c>
      <c r="C498" s="5" t="s">
        <v>311</v>
      </c>
      <c r="D498" s="26"/>
      <c r="E498" s="57"/>
      <c r="F498" s="5" t="s">
        <v>87</v>
      </c>
      <c r="G498" s="5" t="s">
        <v>166</v>
      </c>
      <c r="H498" s="64" t="s">
        <v>14</v>
      </c>
      <c r="I498" s="57" t="s">
        <v>15</v>
      </c>
      <c r="J498" s="51" t="s">
        <v>8</v>
      </c>
      <c r="K498" s="57" t="s">
        <v>15</v>
      </c>
      <c r="L498" s="98" t="s">
        <v>1032</v>
      </c>
      <c r="M498" s="55" t="s">
        <v>98</v>
      </c>
      <c r="N498" s="55" t="s">
        <v>246</v>
      </c>
      <c r="O498" s="104">
        <v>72.511529906289582</v>
      </c>
      <c r="P498" s="29"/>
      <c r="Q498" s="251">
        <v>0.41</v>
      </c>
      <c r="R498" s="104">
        <v>11.488277626739164</v>
      </c>
      <c r="S498" s="104">
        <v>2.7651622002820875</v>
      </c>
      <c r="T498" s="104">
        <v>43.855546247818495</v>
      </c>
      <c r="U498" s="104">
        <v>13.672543831449838</v>
      </c>
      <c r="V498" s="104"/>
      <c r="W498" s="57" t="s">
        <v>13</v>
      </c>
      <c r="X498" s="57" t="s">
        <v>12</v>
      </c>
      <c r="Y498" s="90"/>
      <c r="Z498" s="308" t="s">
        <v>1076</v>
      </c>
      <c r="AA498" s="5" t="s">
        <v>86</v>
      </c>
      <c r="AB498" s="5" t="s">
        <v>1291</v>
      </c>
      <c r="AC498" s="117" t="s">
        <v>10</v>
      </c>
      <c r="AD49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0.41</v>
      </c>
      <c r="AE49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11.229987904925869</v>
      </c>
      <c r="AF49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2.6525940659071847</v>
      </c>
      <c r="AG49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41.326338540528944</v>
      </c>
      <c r="AH498"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12.668662768628591</v>
      </c>
      <c r="AI498"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98" s="10">
        <f t="shared" si="36"/>
        <v>55.618920511361999</v>
      </c>
      <c r="AK498" s="10">
        <f t="shared" si="38"/>
        <v>12.668662768628591</v>
      </c>
      <c r="AL498" s="10">
        <f t="shared" si="37"/>
        <v>67.877583279990588</v>
      </c>
      <c r="AM498" s="6"/>
    </row>
    <row r="499" spans="1:39" ht="31.5" customHeight="1">
      <c r="A499" s="16" t="s">
        <v>38</v>
      </c>
      <c r="B499" s="16" t="s">
        <v>83</v>
      </c>
      <c r="C499" s="16" t="s">
        <v>40</v>
      </c>
      <c r="D499" s="26"/>
      <c r="E499" s="27"/>
      <c r="F499" s="26" t="s">
        <v>995</v>
      </c>
      <c r="G499" s="28"/>
      <c r="H499" s="64" t="s">
        <v>25</v>
      </c>
      <c r="I499" s="66" t="s">
        <v>15</v>
      </c>
      <c r="J499" s="51" t="s">
        <v>8</v>
      </c>
      <c r="K499" s="109" t="s">
        <v>282</v>
      </c>
      <c r="L499" s="64" t="s">
        <v>444</v>
      </c>
      <c r="M499" s="86" t="s">
        <v>27</v>
      </c>
      <c r="N499" s="86" t="s">
        <v>27</v>
      </c>
      <c r="O499" s="104"/>
      <c r="P499" s="29"/>
      <c r="Q499" s="251"/>
      <c r="R499" s="104"/>
      <c r="S499" s="104"/>
      <c r="T499" s="104"/>
      <c r="U499" s="104"/>
      <c r="V499" s="104"/>
      <c r="W499" s="119"/>
      <c r="X499" s="120"/>
      <c r="Y499" s="88"/>
      <c r="Z499" s="306" t="s">
        <v>1348</v>
      </c>
      <c r="AA499" s="17"/>
      <c r="AB499" s="26" t="s">
        <v>1310</v>
      </c>
      <c r="AC499" s="117" t="s">
        <v>10</v>
      </c>
      <c r="AD49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49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49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49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499"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499"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499" s="10">
        <f t="shared" si="36"/>
        <v>0</v>
      </c>
      <c r="AK499" s="10">
        <f t="shared" si="38"/>
        <v>0</v>
      </c>
      <c r="AL499" s="10">
        <f t="shared" si="37"/>
        <v>0</v>
      </c>
      <c r="AM499" s="6"/>
    </row>
    <row r="500" spans="1:39" ht="31.5" customHeight="1">
      <c r="A500" s="5" t="s">
        <v>38</v>
      </c>
      <c r="B500" s="5" t="s">
        <v>83</v>
      </c>
      <c r="C500" s="5" t="s">
        <v>103</v>
      </c>
      <c r="D500" s="26"/>
      <c r="E500" s="57"/>
      <c r="F500" s="5" t="s">
        <v>112</v>
      </c>
      <c r="G500" s="5" t="s">
        <v>88</v>
      </c>
      <c r="H500" s="64" t="s">
        <v>26</v>
      </c>
      <c r="I500" s="57" t="s">
        <v>15</v>
      </c>
      <c r="J500" s="51" t="s">
        <v>8</v>
      </c>
      <c r="K500" s="57" t="s">
        <v>15</v>
      </c>
      <c r="L500" s="98" t="s">
        <v>1054</v>
      </c>
      <c r="M500" s="101">
        <v>41275</v>
      </c>
      <c r="N500" s="101" t="s">
        <v>248</v>
      </c>
      <c r="O500" s="104">
        <v>88.399999999999991</v>
      </c>
      <c r="P500" s="29"/>
      <c r="Q500" s="251">
        <v>11.3</v>
      </c>
      <c r="R500" s="104">
        <v>45.9</v>
      </c>
      <c r="S500" s="104">
        <v>21.7</v>
      </c>
      <c r="T500" s="104">
        <v>2.8</v>
      </c>
      <c r="U500" s="104"/>
      <c r="V500" s="104"/>
      <c r="W500" s="57" t="s">
        <v>13</v>
      </c>
      <c r="X500" s="57" t="s">
        <v>12</v>
      </c>
      <c r="Y500" s="88"/>
      <c r="Z500" s="308" t="s">
        <v>1076</v>
      </c>
      <c r="AA500" s="5" t="s">
        <v>86</v>
      </c>
      <c r="AB500" s="5" t="s">
        <v>1290</v>
      </c>
      <c r="AC500" s="117"/>
      <c r="AD50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11.3</v>
      </c>
      <c r="AE50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44.868035190615835</v>
      </c>
      <c r="AF50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20.816605703749964</v>
      </c>
      <c r="AG50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2.6385202742569187</v>
      </c>
      <c r="AH500"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00"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00" s="10">
        <f t="shared" si="36"/>
        <v>79.62316116862273</v>
      </c>
      <c r="AK500" s="10">
        <f t="shared" si="38"/>
        <v>0</v>
      </c>
      <c r="AL500" s="10">
        <f t="shared" si="37"/>
        <v>68.323161168622732</v>
      </c>
      <c r="AM500" s="6"/>
    </row>
    <row r="501" spans="1:39" ht="31.5" customHeight="1">
      <c r="A501" s="5" t="s">
        <v>38</v>
      </c>
      <c r="B501" s="5" t="s">
        <v>83</v>
      </c>
      <c r="C501" s="5" t="s">
        <v>103</v>
      </c>
      <c r="D501" s="26"/>
      <c r="E501" s="57"/>
      <c r="F501" s="5" t="s">
        <v>113</v>
      </c>
      <c r="G501" s="5" t="s">
        <v>88</v>
      </c>
      <c r="H501" s="64" t="s">
        <v>25</v>
      </c>
      <c r="I501" s="57" t="s">
        <v>15</v>
      </c>
      <c r="J501" s="51" t="s">
        <v>8</v>
      </c>
      <c r="K501" s="57" t="s">
        <v>15</v>
      </c>
      <c r="L501" s="98" t="s">
        <v>1054</v>
      </c>
      <c r="M501" s="101">
        <v>40817</v>
      </c>
      <c r="N501" s="101" t="s">
        <v>248</v>
      </c>
      <c r="O501" s="104">
        <v>61.7</v>
      </c>
      <c r="P501" s="29"/>
      <c r="Q501" s="251">
        <v>17.5</v>
      </c>
      <c r="R501" s="104">
        <v>24</v>
      </c>
      <c r="S501" s="104">
        <v>13.8</v>
      </c>
      <c r="T501" s="104"/>
      <c r="U501" s="104"/>
      <c r="V501" s="104"/>
      <c r="W501" s="57" t="s">
        <v>13</v>
      </c>
      <c r="X501" s="57" t="s">
        <v>12</v>
      </c>
      <c r="Y501" s="88"/>
      <c r="Z501" s="308" t="s">
        <v>1076</v>
      </c>
      <c r="AA501" s="5" t="s">
        <v>86</v>
      </c>
      <c r="AB501" s="5" t="s">
        <v>1290</v>
      </c>
      <c r="AC501" s="117"/>
      <c r="AD50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17.5</v>
      </c>
      <c r="AE50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23.460410557184751</v>
      </c>
      <c r="AF50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13.238210078882465</v>
      </c>
      <c r="AG50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01"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01"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01" s="32">
        <f t="shared" si="36"/>
        <v>54.198620636067218</v>
      </c>
      <c r="AK501" s="32">
        <f t="shared" si="38"/>
        <v>0</v>
      </c>
      <c r="AL501" s="32">
        <f t="shared" si="37"/>
        <v>36.698620636067218</v>
      </c>
      <c r="AM501" s="6"/>
    </row>
    <row r="502" spans="1:39" ht="31.5" customHeight="1">
      <c r="A502" s="5" t="s">
        <v>38</v>
      </c>
      <c r="B502" s="5" t="s">
        <v>83</v>
      </c>
      <c r="C502" s="5" t="s">
        <v>103</v>
      </c>
      <c r="D502" s="26"/>
      <c r="E502" s="57"/>
      <c r="F502" s="5" t="s">
        <v>114</v>
      </c>
      <c r="G502" s="5" t="s">
        <v>88</v>
      </c>
      <c r="H502" s="64" t="s">
        <v>21</v>
      </c>
      <c r="I502" s="57" t="s">
        <v>15</v>
      </c>
      <c r="J502" s="51" t="s">
        <v>8</v>
      </c>
      <c r="K502" s="57" t="s">
        <v>15</v>
      </c>
      <c r="L502" s="98" t="s">
        <v>1032</v>
      </c>
      <c r="M502" s="55" t="s">
        <v>107</v>
      </c>
      <c r="N502" s="55" t="s">
        <v>246</v>
      </c>
      <c r="O502" s="104">
        <v>164.97648997175929</v>
      </c>
      <c r="P502" s="29"/>
      <c r="Q502" s="251">
        <v>2.25</v>
      </c>
      <c r="R502" s="104">
        <v>6.6836295976672258</v>
      </c>
      <c r="S502" s="104">
        <v>65.513926799979117</v>
      </c>
      <c r="T502" s="104">
        <v>57.368933574112944</v>
      </c>
      <c r="U502" s="104">
        <v>31</v>
      </c>
      <c r="V502" s="104"/>
      <c r="W502" s="57" t="s">
        <v>13</v>
      </c>
      <c r="X502" s="57" t="s">
        <v>12</v>
      </c>
      <c r="Y502" s="88"/>
      <c r="Z502" s="308" t="s">
        <v>1076</v>
      </c>
      <c r="AA502" s="5" t="s">
        <v>86</v>
      </c>
      <c r="AB502" s="5" t="s">
        <v>1291</v>
      </c>
      <c r="AC502" s="117" t="s">
        <v>10</v>
      </c>
      <c r="AD50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2.25</v>
      </c>
      <c r="AE50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6.5333622655593606</v>
      </c>
      <c r="AF50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62.846893193525482</v>
      </c>
      <c r="AG50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54.060390838498371</v>
      </c>
      <c r="AH502"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28.723882744052709</v>
      </c>
      <c r="AI502"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02" s="32">
        <f t="shared" si="36"/>
        <v>125.69064629758321</v>
      </c>
      <c r="AK502" s="32">
        <f t="shared" si="38"/>
        <v>28.723882744052709</v>
      </c>
      <c r="AL502" s="32">
        <f t="shared" si="37"/>
        <v>152.16452904163592</v>
      </c>
      <c r="AM502" s="6"/>
    </row>
    <row r="503" spans="1:39" ht="31.5" customHeight="1">
      <c r="A503" s="5" t="s">
        <v>38</v>
      </c>
      <c r="B503" s="5" t="s">
        <v>83</v>
      </c>
      <c r="C503" s="5" t="s">
        <v>103</v>
      </c>
      <c r="D503" s="26"/>
      <c r="E503" s="57"/>
      <c r="F503" s="5" t="s">
        <v>104</v>
      </c>
      <c r="G503" s="5" t="s">
        <v>84</v>
      </c>
      <c r="H503" s="64" t="s">
        <v>20</v>
      </c>
      <c r="I503" s="57" t="s">
        <v>15</v>
      </c>
      <c r="J503" s="51" t="s">
        <v>8</v>
      </c>
      <c r="K503" s="57" t="s">
        <v>15</v>
      </c>
      <c r="L503" s="98" t="s">
        <v>1032</v>
      </c>
      <c r="M503" s="55" t="s">
        <v>1011</v>
      </c>
      <c r="N503" s="55" t="s">
        <v>247</v>
      </c>
      <c r="O503" s="104">
        <v>228.44554469093165</v>
      </c>
      <c r="P503" s="29"/>
      <c r="Q503" s="251">
        <v>6.41</v>
      </c>
      <c r="R503" s="104">
        <v>51.331357679249905</v>
      </c>
      <c r="S503" s="104">
        <v>154.53178718738579</v>
      </c>
      <c r="T503" s="104">
        <v>14.692399824295965</v>
      </c>
      <c r="U503" s="104"/>
      <c r="V503" s="104"/>
      <c r="W503" s="57" t="s">
        <v>13</v>
      </c>
      <c r="X503" s="57" t="s">
        <v>12</v>
      </c>
      <c r="Y503" s="88"/>
      <c r="Z503" s="308" t="s">
        <v>1076</v>
      </c>
      <c r="AA503" s="5" t="s">
        <v>86</v>
      </c>
      <c r="AB503" s="5" t="s">
        <v>1291</v>
      </c>
      <c r="AC503" s="117" t="s">
        <v>10</v>
      </c>
      <c r="AD50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6.41</v>
      </c>
      <c r="AE50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50.177280233870874</v>
      </c>
      <c r="AF50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148.24088859795441</v>
      </c>
      <c r="AG50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13.845069576390605</v>
      </c>
      <c r="AH503"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03"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03" s="32">
        <f t="shared" si="36"/>
        <v>218.67323840821589</v>
      </c>
      <c r="AK503" s="32">
        <f t="shared" si="38"/>
        <v>0</v>
      </c>
      <c r="AL503" s="32">
        <f t="shared" si="37"/>
        <v>212.2632384082159</v>
      </c>
      <c r="AM503" s="6"/>
    </row>
    <row r="504" spans="1:39" ht="31.5" customHeight="1">
      <c r="A504" s="5" t="s">
        <v>38</v>
      </c>
      <c r="B504" s="5" t="s">
        <v>83</v>
      </c>
      <c r="C504" s="5" t="s">
        <v>103</v>
      </c>
      <c r="D504" s="26"/>
      <c r="E504" s="57"/>
      <c r="F504" s="5" t="s">
        <v>105</v>
      </c>
      <c r="G504" s="5" t="s">
        <v>84</v>
      </c>
      <c r="H504" s="64" t="s">
        <v>14</v>
      </c>
      <c r="I504" s="57" t="s">
        <v>15</v>
      </c>
      <c r="J504" s="51" t="s">
        <v>8</v>
      </c>
      <c r="K504" s="57" t="s">
        <v>15</v>
      </c>
      <c r="L504" s="98" t="s">
        <v>1032</v>
      </c>
      <c r="M504" s="55" t="s">
        <v>41</v>
      </c>
      <c r="N504" s="55" t="s">
        <v>247</v>
      </c>
      <c r="O504" s="104">
        <v>110.69307889170685</v>
      </c>
      <c r="P504" s="29"/>
      <c r="Q504" s="251">
        <v>5.0999999999999996</v>
      </c>
      <c r="R504" s="104">
        <v>10.011914781930663</v>
      </c>
      <c r="S504" s="104">
        <v>72.61616874641048</v>
      </c>
      <c r="T504" s="104">
        <v>22.344995363365708</v>
      </c>
      <c r="U504" s="104"/>
      <c r="V504" s="104"/>
      <c r="W504" s="57" t="s">
        <v>13</v>
      </c>
      <c r="X504" s="57" t="s">
        <v>12</v>
      </c>
      <c r="Y504" s="88"/>
      <c r="Z504" s="308" t="s">
        <v>1076</v>
      </c>
      <c r="AA504" s="5" t="s">
        <v>86</v>
      </c>
      <c r="AB504" s="5" t="s">
        <v>1291</v>
      </c>
      <c r="AC504" s="117"/>
      <c r="AD50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5.0999999999999996</v>
      </c>
      <c r="AE50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9.7868179686516754</v>
      </c>
      <c r="AF50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69.660007028156599</v>
      </c>
      <c r="AG50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21.056329748006167</v>
      </c>
      <c r="AH504"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04"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04" s="32">
        <f t="shared" si="36"/>
        <v>105.60315474481443</v>
      </c>
      <c r="AK504" s="32">
        <f t="shared" si="38"/>
        <v>0</v>
      </c>
      <c r="AL504" s="32">
        <f t="shared" si="37"/>
        <v>100.50315474481444</v>
      </c>
      <c r="AM504" s="6"/>
    </row>
    <row r="505" spans="1:39" ht="31.5" customHeight="1">
      <c r="A505" s="5" t="s">
        <v>38</v>
      </c>
      <c r="B505" s="5" t="s">
        <v>83</v>
      </c>
      <c r="C505" s="5" t="s">
        <v>103</v>
      </c>
      <c r="D505" s="26"/>
      <c r="E505" s="57"/>
      <c r="F505" s="5" t="s">
        <v>106</v>
      </c>
      <c r="G505" s="5" t="s">
        <v>84</v>
      </c>
      <c r="H505" s="64" t="s">
        <v>14</v>
      </c>
      <c r="I505" s="57" t="s">
        <v>15</v>
      </c>
      <c r="J505" s="51" t="s">
        <v>8</v>
      </c>
      <c r="K505" s="57" t="s">
        <v>15</v>
      </c>
      <c r="L505" s="98" t="s">
        <v>1054</v>
      </c>
      <c r="M505" s="55" t="s">
        <v>41</v>
      </c>
      <c r="N505" s="55" t="s">
        <v>247</v>
      </c>
      <c r="O505" s="104">
        <v>145.13419639668464</v>
      </c>
      <c r="P505" s="29"/>
      <c r="Q505" s="251">
        <v>2.4900000000000002</v>
      </c>
      <c r="R505" s="104">
        <v>31.36164657366929</v>
      </c>
      <c r="S505" s="104">
        <v>87.563370751318331</v>
      </c>
      <c r="T505" s="104">
        <v>22.819179071697011</v>
      </c>
      <c r="U505" s="104"/>
      <c r="V505" s="104"/>
      <c r="W505" s="57" t="s">
        <v>13</v>
      </c>
      <c r="X505" s="57" t="s">
        <v>12</v>
      </c>
      <c r="Y505" s="88"/>
      <c r="Z505" s="308" t="s">
        <v>1076</v>
      </c>
      <c r="AA505" s="5" t="s">
        <v>86</v>
      </c>
      <c r="AB505" s="5" t="s">
        <v>1290</v>
      </c>
      <c r="AC505" s="117" t="s">
        <v>10</v>
      </c>
      <c r="AD50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2.4900000000000002</v>
      </c>
      <c r="AE50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30.656546015317002</v>
      </c>
      <c r="AF50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83.998717189929309</v>
      </c>
      <c r="AG50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21.50316665091848</v>
      </c>
      <c r="AH505"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05"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05" s="32">
        <f t="shared" si="36"/>
        <v>138.6484298561648</v>
      </c>
      <c r="AK505" s="32">
        <f t="shared" si="38"/>
        <v>0</v>
      </c>
      <c r="AL505" s="32">
        <f t="shared" si="37"/>
        <v>136.15842985616479</v>
      </c>
      <c r="AM505" s="6"/>
    </row>
    <row r="506" spans="1:39" ht="31.5" customHeight="1">
      <c r="A506" s="5" t="s">
        <v>38</v>
      </c>
      <c r="B506" s="5" t="s">
        <v>83</v>
      </c>
      <c r="C506" s="5" t="s">
        <v>103</v>
      </c>
      <c r="D506" s="26"/>
      <c r="E506" s="57"/>
      <c r="F506" s="5" t="s">
        <v>109</v>
      </c>
      <c r="G506" s="5" t="s">
        <v>84</v>
      </c>
      <c r="H506" s="64" t="s">
        <v>25</v>
      </c>
      <c r="I506" s="57" t="s">
        <v>15</v>
      </c>
      <c r="J506" s="51" t="s">
        <v>8</v>
      </c>
      <c r="K506" s="57" t="s">
        <v>15</v>
      </c>
      <c r="L506" s="98" t="s">
        <v>1054</v>
      </c>
      <c r="M506" s="55" t="s">
        <v>41</v>
      </c>
      <c r="N506" s="55" t="s">
        <v>247</v>
      </c>
      <c r="O506" s="104">
        <v>186.4</v>
      </c>
      <c r="P506" s="29"/>
      <c r="Q506" s="251">
        <v>32.21</v>
      </c>
      <c r="R506" s="104">
        <v>107.31</v>
      </c>
      <c r="S506" s="104">
        <v>43.87</v>
      </c>
      <c r="T506" s="104">
        <v>2.73</v>
      </c>
      <c r="U506" s="104"/>
      <c r="V506" s="104"/>
      <c r="W506" s="57" t="s">
        <v>13</v>
      </c>
      <c r="X506" s="57" t="s">
        <v>12</v>
      </c>
      <c r="Y506" s="88"/>
      <c r="Z506" s="308" t="s">
        <v>1076</v>
      </c>
      <c r="AA506" s="5" t="s">
        <v>86</v>
      </c>
      <c r="AB506" s="5" t="s">
        <v>1290</v>
      </c>
      <c r="AC506" s="117" t="s">
        <v>10</v>
      </c>
      <c r="AD50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32.21</v>
      </c>
      <c r="AE50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104.89736070381232</v>
      </c>
      <c r="AF50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42.084077982650271</v>
      </c>
      <c r="AG50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2.5725572674004957</v>
      </c>
      <c r="AH506"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06"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06" s="32">
        <f t="shared" si="36"/>
        <v>181.76399595386312</v>
      </c>
      <c r="AK506" s="32">
        <f t="shared" si="38"/>
        <v>0</v>
      </c>
      <c r="AL506" s="32">
        <f t="shared" si="37"/>
        <v>149.55399595386311</v>
      </c>
      <c r="AM506" s="6"/>
    </row>
    <row r="507" spans="1:39" ht="31.5" customHeight="1">
      <c r="A507" s="5" t="s">
        <v>38</v>
      </c>
      <c r="B507" s="5" t="s">
        <v>83</v>
      </c>
      <c r="C507" s="5" t="s">
        <v>103</v>
      </c>
      <c r="D507" s="26"/>
      <c r="E507" s="57"/>
      <c r="F507" s="5" t="s">
        <v>108</v>
      </c>
      <c r="G507" s="5" t="s">
        <v>84</v>
      </c>
      <c r="H507" s="64" t="s">
        <v>25</v>
      </c>
      <c r="I507" s="57" t="s">
        <v>15</v>
      </c>
      <c r="J507" s="51" t="s">
        <v>8</v>
      </c>
      <c r="K507" s="57" t="s">
        <v>15</v>
      </c>
      <c r="L507" s="98" t="s">
        <v>1054</v>
      </c>
      <c r="M507" s="55" t="s">
        <v>1012</v>
      </c>
      <c r="N507" s="55" t="s">
        <v>248</v>
      </c>
      <c r="O507" s="104">
        <v>121.75000000000001</v>
      </c>
      <c r="P507" s="29"/>
      <c r="Q507" s="251">
        <v>28.48</v>
      </c>
      <c r="R507" s="104">
        <v>87.37</v>
      </c>
      <c r="S507" s="104">
        <v>5.7</v>
      </c>
      <c r="T507" s="104"/>
      <c r="U507" s="104"/>
      <c r="V507" s="104"/>
      <c r="W507" s="57" t="s">
        <v>13</v>
      </c>
      <c r="X507" s="57" t="s">
        <v>12</v>
      </c>
      <c r="Y507" s="88"/>
      <c r="Z507" s="308" t="s">
        <v>1076</v>
      </c>
      <c r="AA507" s="5" t="s">
        <v>86</v>
      </c>
      <c r="AB507" s="5" t="s">
        <v>1290</v>
      </c>
      <c r="AC507" s="117" t="s">
        <v>10</v>
      </c>
      <c r="AD50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28.48</v>
      </c>
      <c r="AE50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85.405669599217987</v>
      </c>
      <c r="AF50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5.4679563369297144</v>
      </c>
      <c r="AG50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07"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07"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07" s="32">
        <f t="shared" si="36"/>
        <v>119.35362593614771</v>
      </c>
      <c r="AK507" s="32">
        <f t="shared" si="38"/>
        <v>0</v>
      </c>
      <c r="AL507" s="32">
        <f t="shared" si="37"/>
        <v>90.873625936147704</v>
      </c>
      <c r="AM507" s="6"/>
    </row>
    <row r="508" spans="1:39" ht="31.5" customHeight="1">
      <c r="A508" s="5" t="s">
        <v>38</v>
      </c>
      <c r="B508" s="5" t="s">
        <v>83</v>
      </c>
      <c r="C508" s="5" t="s">
        <v>103</v>
      </c>
      <c r="D508" s="26"/>
      <c r="E508" s="57"/>
      <c r="F508" s="5" t="s">
        <v>110</v>
      </c>
      <c r="G508" s="5" t="s">
        <v>84</v>
      </c>
      <c r="H508" s="64" t="s">
        <v>16</v>
      </c>
      <c r="I508" s="57" t="s">
        <v>15</v>
      </c>
      <c r="J508" s="51" t="s">
        <v>8</v>
      </c>
      <c r="K508" s="57" t="s">
        <v>15</v>
      </c>
      <c r="L508" s="98" t="s">
        <v>1054</v>
      </c>
      <c r="M508" s="55" t="s">
        <v>1013</v>
      </c>
      <c r="N508" s="55" t="s">
        <v>248</v>
      </c>
      <c r="O508" s="104">
        <v>76.61</v>
      </c>
      <c r="P508" s="29"/>
      <c r="Q508" s="251">
        <v>45.97</v>
      </c>
      <c r="R508" s="104">
        <v>16.29</v>
      </c>
      <c r="S508" s="104"/>
      <c r="T508" s="104"/>
      <c r="U508" s="104"/>
      <c r="V508" s="104"/>
      <c r="W508" s="57" t="s">
        <v>13</v>
      </c>
      <c r="X508" s="57" t="s">
        <v>12</v>
      </c>
      <c r="Y508" s="88"/>
      <c r="Z508" s="308" t="s">
        <v>1076</v>
      </c>
      <c r="AA508" s="5" t="s">
        <v>86</v>
      </c>
      <c r="AB508" s="5" t="s">
        <v>1290</v>
      </c>
      <c r="AC508" s="117"/>
      <c r="AD50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45.97</v>
      </c>
      <c r="AE50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15.92375366568915</v>
      </c>
      <c r="AF50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50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08"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08"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08" s="32">
        <f t="shared" si="36"/>
        <v>61.893753665689147</v>
      </c>
      <c r="AK508" s="32">
        <f t="shared" si="38"/>
        <v>0</v>
      </c>
      <c r="AL508" s="32">
        <f t="shared" si="37"/>
        <v>15.923753665689148</v>
      </c>
      <c r="AM508" s="6"/>
    </row>
    <row r="509" spans="1:39" ht="31.5" customHeight="1">
      <c r="A509" s="5" t="s">
        <v>38</v>
      </c>
      <c r="B509" s="5" t="s">
        <v>83</v>
      </c>
      <c r="C509" s="5" t="s">
        <v>103</v>
      </c>
      <c r="D509" s="26"/>
      <c r="E509" s="57"/>
      <c r="F509" s="5" t="s">
        <v>111</v>
      </c>
      <c r="G509" s="5" t="s">
        <v>84</v>
      </c>
      <c r="H509" s="64" t="s">
        <v>18</v>
      </c>
      <c r="I509" s="57" t="s">
        <v>15</v>
      </c>
      <c r="J509" s="51" t="s">
        <v>8</v>
      </c>
      <c r="K509" s="57" t="s">
        <v>15</v>
      </c>
      <c r="L509" s="98" t="s">
        <v>1054</v>
      </c>
      <c r="M509" s="55" t="s">
        <v>1014</v>
      </c>
      <c r="N509" s="55" t="s">
        <v>248</v>
      </c>
      <c r="O509" s="104">
        <v>98.929999999999993</v>
      </c>
      <c r="P509" s="29"/>
      <c r="Q509" s="251">
        <v>41</v>
      </c>
      <c r="R509" s="104">
        <v>41.71</v>
      </c>
      <c r="S509" s="104">
        <v>2.21</v>
      </c>
      <c r="T509" s="104"/>
      <c r="U509" s="104"/>
      <c r="V509" s="104"/>
      <c r="W509" s="57" t="s">
        <v>13</v>
      </c>
      <c r="X509" s="57" t="s">
        <v>12</v>
      </c>
      <c r="Y509" s="88"/>
      <c r="Z509" s="308" t="s">
        <v>1076</v>
      </c>
      <c r="AA509" s="5" t="s">
        <v>86</v>
      </c>
      <c r="AB509" s="5" t="s">
        <v>1290</v>
      </c>
      <c r="AC509" s="117"/>
      <c r="AD50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41</v>
      </c>
      <c r="AE50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40.772238514173999</v>
      </c>
      <c r="AF50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2.120032193792047</v>
      </c>
      <c r="AG50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09"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09"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09" s="32">
        <f t="shared" si="36"/>
        <v>83.892270707966048</v>
      </c>
      <c r="AK509" s="32">
        <f t="shared" si="38"/>
        <v>0</v>
      </c>
      <c r="AL509" s="32">
        <f t="shared" si="37"/>
        <v>42.892270707966048</v>
      </c>
      <c r="AM509" s="6"/>
    </row>
    <row r="510" spans="1:39" ht="31.5" customHeight="1">
      <c r="A510" s="5" t="s">
        <v>38</v>
      </c>
      <c r="B510" s="5" t="s">
        <v>83</v>
      </c>
      <c r="C510" s="5" t="s">
        <v>103</v>
      </c>
      <c r="D510" s="26"/>
      <c r="E510" s="57"/>
      <c r="F510" s="5" t="s">
        <v>1254</v>
      </c>
      <c r="G510" s="5" t="s">
        <v>84</v>
      </c>
      <c r="H510" s="64" t="s">
        <v>21</v>
      </c>
      <c r="I510" s="57" t="s">
        <v>15</v>
      </c>
      <c r="J510" s="51" t="s">
        <v>8</v>
      </c>
      <c r="K510" s="57" t="s">
        <v>15</v>
      </c>
      <c r="L510" s="98" t="s">
        <v>1032</v>
      </c>
      <c r="M510" s="55" t="s">
        <v>107</v>
      </c>
      <c r="N510" s="55" t="s">
        <v>246</v>
      </c>
      <c r="O510" s="104">
        <v>254.72696949891758</v>
      </c>
      <c r="P510" s="29"/>
      <c r="Q510" s="251">
        <v>2.5</v>
      </c>
      <c r="R510" s="104">
        <v>5.5877308174829237</v>
      </c>
      <c r="S510" s="104">
        <v>212.4947465149063</v>
      </c>
      <c r="T510" s="104">
        <v>32.244492166528389</v>
      </c>
      <c r="U510" s="104"/>
      <c r="V510" s="104"/>
      <c r="W510" s="57" t="s">
        <v>13</v>
      </c>
      <c r="X510" s="57" t="s">
        <v>12</v>
      </c>
      <c r="Y510" s="88"/>
      <c r="Z510" s="308" t="s">
        <v>1076</v>
      </c>
      <c r="AA510" s="5" t="s">
        <v>86</v>
      </c>
      <c r="AB510" s="5" t="s">
        <v>1291</v>
      </c>
      <c r="AC510" s="117" t="s">
        <v>10</v>
      </c>
      <c r="AD51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2.5</v>
      </c>
      <c r="AE51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5.4621024608826234</v>
      </c>
      <c r="AF51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203.84420978429037</v>
      </c>
      <c r="AG51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30.384909398036985</v>
      </c>
      <c r="AH510"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10"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10" s="32">
        <f t="shared" si="36"/>
        <v>242.19122164320999</v>
      </c>
      <c r="AK510" s="32">
        <f t="shared" si="38"/>
        <v>0</v>
      </c>
      <c r="AL510" s="32">
        <f t="shared" si="37"/>
        <v>239.69122164320999</v>
      </c>
      <c r="AM510" s="6"/>
    </row>
    <row r="511" spans="1:39" ht="31.5" customHeight="1">
      <c r="A511" s="5" t="s">
        <v>38</v>
      </c>
      <c r="B511" s="5" t="s">
        <v>83</v>
      </c>
      <c r="C511" s="5" t="s">
        <v>312</v>
      </c>
      <c r="D511" s="26"/>
      <c r="E511" s="57"/>
      <c r="F511" s="5" t="s">
        <v>788</v>
      </c>
      <c r="G511" s="5" t="s">
        <v>88</v>
      </c>
      <c r="H511" s="64" t="s">
        <v>26</v>
      </c>
      <c r="I511" s="57" t="s">
        <v>15</v>
      </c>
      <c r="J511" s="51" t="s">
        <v>8</v>
      </c>
      <c r="K511" s="57" t="s">
        <v>15</v>
      </c>
      <c r="L511" s="1" t="s">
        <v>444</v>
      </c>
      <c r="M511" s="55">
        <v>2016</v>
      </c>
      <c r="N511" s="55" t="s">
        <v>243</v>
      </c>
      <c r="O511" s="104">
        <v>1575.89</v>
      </c>
      <c r="P511" s="29"/>
      <c r="Q511" s="251">
        <v>0.69</v>
      </c>
      <c r="R511" s="104">
        <v>5.91</v>
      </c>
      <c r="S511" s="104">
        <v>23.5</v>
      </c>
      <c r="T511" s="104">
        <v>45.79</v>
      </c>
      <c r="U511" s="104">
        <v>1500</v>
      </c>
      <c r="V511" s="104"/>
      <c r="W511" s="57" t="s">
        <v>13</v>
      </c>
      <c r="X511" s="57" t="s">
        <v>12</v>
      </c>
      <c r="Y511" s="93"/>
      <c r="Z511" s="308" t="s">
        <v>1076</v>
      </c>
      <c r="AA511" s="5" t="s">
        <v>86</v>
      </c>
      <c r="AB511" s="5" t="s">
        <v>1293</v>
      </c>
      <c r="AC511" s="117" t="s">
        <v>10</v>
      </c>
      <c r="AD51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0.69</v>
      </c>
      <c r="AE51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5.7771260997067451</v>
      </c>
      <c r="AF51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22.543328757517244</v>
      </c>
      <c r="AG51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43.149229770794399</v>
      </c>
      <c r="AH511"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1389.8652940670665</v>
      </c>
      <c r="AI511"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11" s="10">
        <f t="shared" si="36"/>
        <v>72.159684628018397</v>
      </c>
      <c r="AK511" s="10">
        <f t="shared" si="38"/>
        <v>1389.8652940670665</v>
      </c>
      <c r="AL511" s="10">
        <f t="shared" si="37"/>
        <v>1461.3349786950848</v>
      </c>
      <c r="AM511" s="6"/>
    </row>
    <row r="512" spans="1:39" ht="31.5" customHeight="1">
      <c r="A512" s="5" t="s">
        <v>38</v>
      </c>
      <c r="B512" s="5" t="s">
        <v>83</v>
      </c>
      <c r="C512" s="5" t="s">
        <v>312</v>
      </c>
      <c r="D512" s="26"/>
      <c r="E512" s="57"/>
      <c r="F512" s="5" t="s">
        <v>89</v>
      </c>
      <c r="G512" s="5" t="s">
        <v>88</v>
      </c>
      <c r="H512" s="64" t="s">
        <v>22</v>
      </c>
      <c r="I512" s="57" t="s">
        <v>15</v>
      </c>
      <c r="J512" s="51" t="s">
        <v>8</v>
      </c>
      <c r="K512" s="57" t="s">
        <v>15</v>
      </c>
      <c r="L512" s="1" t="s">
        <v>444</v>
      </c>
      <c r="M512" s="55" t="s">
        <v>246</v>
      </c>
      <c r="N512" s="55" t="s">
        <v>243</v>
      </c>
      <c r="O512" s="104"/>
      <c r="P512" s="29"/>
      <c r="Q512" s="251"/>
      <c r="R512" s="104"/>
      <c r="S512" s="104"/>
      <c r="T512" s="104"/>
      <c r="U512" s="104"/>
      <c r="V512" s="104"/>
      <c r="W512" s="57"/>
      <c r="X512" s="57" t="s">
        <v>12</v>
      </c>
      <c r="Y512" s="93"/>
      <c r="Z512" s="308" t="s">
        <v>1076</v>
      </c>
      <c r="AA512" s="5" t="s">
        <v>86</v>
      </c>
      <c r="AB512" s="5" t="s">
        <v>1293</v>
      </c>
      <c r="AC512" s="117"/>
      <c r="AD51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1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51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51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12"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12"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12" s="10">
        <f t="shared" si="36"/>
        <v>0</v>
      </c>
      <c r="AK512" s="10">
        <f t="shared" si="38"/>
        <v>0</v>
      </c>
      <c r="AL512" s="10">
        <f t="shared" si="37"/>
        <v>0</v>
      </c>
      <c r="AM512" s="6"/>
    </row>
    <row r="513" spans="1:39" ht="31.5" customHeight="1">
      <c r="A513" s="5" t="s">
        <v>38</v>
      </c>
      <c r="B513" s="5" t="s">
        <v>83</v>
      </c>
      <c r="C513" s="5" t="s">
        <v>312</v>
      </c>
      <c r="D513" s="26"/>
      <c r="E513" s="57"/>
      <c r="F513" s="5" t="s">
        <v>315</v>
      </c>
      <c r="G513" s="5" t="s">
        <v>167</v>
      </c>
      <c r="H513" s="64" t="s">
        <v>22</v>
      </c>
      <c r="I513" s="57" t="s">
        <v>15</v>
      </c>
      <c r="J513" s="51" t="s">
        <v>8</v>
      </c>
      <c r="K513" s="57" t="s">
        <v>15</v>
      </c>
      <c r="L513" s="1" t="s">
        <v>444</v>
      </c>
      <c r="M513" s="55" t="s">
        <v>246</v>
      </c>
      <c r="N513" s="55" t="s">
        <v>244</v>
      </c>
      <c r="O513" s="104">
        <v>45.768531818782961</v>
      </c>
      <c r="P513" s="29"/>
      <c r="Q513" s="251">
        <v>0.28999999999999998</v>
      </c>
      <c r="R513" s="104">
        <v>10.61864704941628</v>
      </c>
      <c r="S513" s="104">
        <v>2.4579219558063001</v>
      </c>
      <c r="T513" s="104">
        <v>4.9448051192553804</v>
      </c>
      <c r="U513" s="104">
        <v>27.457157694305003</v>
      </c>
      <c r="V513" s="104"/>
      <c r="W513" s="57" t="s">
        <v>13</v>
      </c>
      <c r="X513" s="57" t="s">
        <v>12</v>
      </c>
      <c r="Y513" s="93"/>
      <c r="Z513" s="308" t="s">
        <v>1076</v>
      </c>
      <c r="AA513" s="5" t="s">
        <v>86</v>
      </c>
      <c r="AB513" s="5" t="s">
        <v>1293</v>
      </c>
      <c r="AC513" s="117"/>
      <c r="AD51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0.28999999999999998</v>
      </c>
      <c r="AE51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10.37990913921435</v>
      </c>
      <c r="AF51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2.3578613919174978</v>
      </c>
      <c r="AG51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4.6596316283588299</v>
      </c>
      <c r="AH513"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25.441167035360696</v>
      </c>
      <c r="AI513"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13" s="10">
        <f t="shared" si="36"/>
        <v>17.687402159490677</v>
      </c>
      <c r="AK513" s="10">
        <f t="shared" si="38"/>
        <v>25.441167035360696</v>
      </c>
      <c r="AL513" s="10">
        <f t="shared" si="37"/>
        <v>42.838569194851374</v>
      </c>
      <c r="AM513" s="6"/>
    </row>
    <row r="514" spans="1:39" ht="31.5" customHeight="1">
      <c r="A514" s="5" t="s">
        <v>38</v>
      </c>
      <c r="B514" s="5" t="s">
        <v>83</v>
      </c>
      <c r="C514" s="5" t="s">
        <v>312</v>
      </c>
      <c r="D514" s="26"/>
      <c r="E514" s="57"/>
      <c r="F514" s="5" t="s">
        <v>331</v>
      </c>
      <c r="G514" s="5" t="s">
        <v>88</v>
      </c>
      <c r="H514" s="64" t="s">
        <v>25</v>
      </c>
      <c r="I514" s="57" t="s">
        <v>15</v>
      </c>
      <c r="J514" s="51" t="s">
        <v>8</v>
      </c>
      <c r="K514" s="57" t="s">
        <v>15</v>
      </c>
      <c r="L514" s="1" t="s">
        <v>444</v>
      </c>
      <c r="M514" s="55" t="s">
        <v>85</v>
      </c>
      <c r="N514" s="55" t="s">
        <v>85</v>
      </c>
      <c r="O514" s="104"/>
      <c r="P514" s="29"/>
      <c r="Q514" s="251"/>
      <c r="R514" s="104"/>
      <c r="S514" s="104"/>
      <c r="T514" s="104"/>
      <c r="U514" s="104"/>
      <c r="V514" s="104"/>
      <c r="W514" s="57"/>
      <c r="X514" s="57" t="s">
        <v>12</v>
      </c>
      <c r="Y514" s="93"/>
      <c r="Z514" s="308" t="s">
        <v>1076</v>
      </c>
      <c r="AA514" s="5" t="s">
        <v>86</v>
      </c>
      <c r="AB514" s="5" t="s">
        <v>1294</v>
      </c>
      <c r="AC514" s="117"/>
      <c r="AD51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1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51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51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14"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14"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14" s="10">
        <f t="shared" ref="AJ514:AJ577" si="40">SUM(AD514:AG514)</f>
        <v>0</v>
      </c>
      <c r="AK514" s="10">
        <f t="shared" si="38"/>
        <v>0</v>
      </c>
      <c r="AL514" s="10">
        <f t="shared" ref="AL514:AL577" si="41">+AJ514+AK514-AD514</f>
        <v>0</v>
      </c>
      <c r="AM514" s="6"/>
    </row>
    <row r="515" spans="1:39" ht="31.5" customHeight="1">
      <c r="A515" s="5" t="s">
        <v>38</v>
      </c>
      <c r="B515" s="5" t="s">
        <v>83</v>
      </c>
      <c r="C515" s="5" t="s">
        <v>312</v>
      </c>
      <c r="D515" s="26"/>
      <c r="E515" s="57"/>
      <c r="F515" s="5" t="s">
        <v>330</v>
      </c>
      <c r="G515" s="5" t="s">
        <v>88</v>
      </c>
      <c r="H515" s="64" t="s">
        <v>25</v>
      </c>
      <c r="I515" s="57" t="s">
        <v>15</v>
      </c>
      <c r="J515" s="51" t="s">
        <v>8</v>
      </c>
      <c r="K515" s="57" t="s">
        <v>15</v>
      </c>
      <c r="L515" s="1" t="s">
        <v>444</v>
      </c>
      <c r="M515" s="55" t="s">
        <v>85</v>
      </c>
      <c r="N515" s="55" t="s">
        <v>85</v>
      </c>
      <c r="O515" s="104"/>
      <c r="P515" s="29"/>
      <c r="Q515" s="251"/>
      <c r="R515" s="104"/>
      <c r="S515" s="104"/>
      <c r="T515" s="104"/>
      <c r="U515" s="104"/>
      <c r="V515" s="104"/>
      <c r="W515" s="57"/>
      <c r="X515" s="57" t="s">
        <v>12</v>
      </c>
      <c r="Y515" s="93"/>
      <c r="Z515" s="308" t="s">
        <v>1076</v>
      </c>
      <c r="AA515" s="5" t="s">
        <v>86</v>
      </c>
      <c r="AB515" s="5" t="s">
        <v>1294</v>
      </c>
      <c r="AC515" s="117"/>
      <c r="AD51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1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51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51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15"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15"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15" s="10">
        <f t="shared" si="40"/>
        <v>0</v>
      </c>
      <c r="AK515" s="10">
        <f t="shared" si="38"/>
        <v>0</v>
      </c>
      <c r="AL515" s="10">
        <f t="shared" si="41"/>
        <v>0</v>
      </c>
      <c r="AM515" s="6"/>
    </row>
    <row r="516" spans="1:39" ht="31.5" customHeight="1">
      <c r="A516" s="5" t="s">
        <v>38</v>
      </c>
      <c r="B516" s="5" t="s">
        <v>83</v>
      </c>
      <c r="C516" s="5" t="s">
        <v>312</v>
      </c>
      <c r="D516" s="26"/>
      <c r="E516" s="57"/>
      <c r="F516" s="5" t="s">
        <v>90</v>
      </c>
      <c r="G516" s="5" t="s">
        <v>88</v>
      </c>
      <c r="H516" s="64" t="s">
        <v>25</v>
      </c>
      <c r="I516" s="57" t="s">
        <v>15</v>
      </c>
      <c r="J516" s="51" t="s">
        <v>8</v>
      </c>
      <c r="K516" s="57" t="s">
        <v>15</v>
      </c>
      <c r="L516" s="1" t="s">
        <v>444</v>
      </c>
      <c r="M516" s="55" t="s">
        <v>247</v>
      </c>
      <c r="N516" s="55" t="s">
        <v>245</v>
      </c>
      <c r="O516" s="104">
        <v>69.318178070220711</v>
      </c>
      <c r="P516" s="29"/>
      <c r="Q516" s="251">
        <v>1.6</v>
      </c>
      <c r="R516" s="104">
        <v>21.374604189988805</v>
      </c>
      <c r="S516" s="104">
        <v>0.81930731860210004</v>
      </c>
      <c r="T516" s="104">
        <v>20.963187899941829</v>
      </c>
      <c r="U516" s="104">
        <v>24.421078661687975</v>
      </c>
      <c r="V516" s="104"/>
      <c r="W516" s="57" t="s">
        <v>13</v>
      </c>
      <c r="X516" s="57" t="s">
        <v>12</v>
      </c>
      <c r="Y516" s="93"/>
      <c r="Z516" s="308" t="s">
        <v>1076</v>
      </c>
      <c r="AA516" s="5" t="s">
        <v>86</v>
      </c>
      <c r="AB516" s="5" t="s">
        <v>1293</v>
      </c>
      <c r="AC516" s="117"/>
      <c r="AD51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1.6</v>
      </c>
      <c r="AE51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20.894041241435783</v>
      </c>
      <c r="AF51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0.78595379730583248</v>
      </c>
      <c r="AG51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19.754212959662087</v>
      </c>
      <c r="AH516"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22.628006450374617</v>
      </c>
      <c r="AI516"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16" s="10">
        <f t="shared" si="40"/>
        <v>43.034207998403701</v>
      </c>
      <c r="AK516" s="10">
        <f t="shared" si="38"/>
        <v>22.628006450374617</v>
      </c>
      <c r="AL516" s="10">
        <f t="shared" si="41"/>
        <v>64.06221444877832</v>
      </c>
      <c r="AM516" s="6"/>
    </row>
    <row r="517" spans="1:39" ht="31.5" customHeight="1">
      <c r="A517" s="5" t="s">
        <v>38</v>
      </c>
      <c r="B517" s="5" t="s">
        <v>83</v>
      </c>
      <c r="C517" s="5" t="s">
        <v>312</v>
      </c>
      <c r="D517" s="26"/>
      <c r="E517" s="57"/>
      <c r="F517" s="5" t="s">
        <v>91</v>
      </c>
      <c r="G517" s="5" t="s">
        <v>88</v>
      </c>
      <c r="H517" s="64" t="s">
        <v>25</v>
      </c>
      <c r="I517" s="57" t="s">
        <v>15</v>
      </c>
      <c r="J517" s="51" t="s">
        <v>8</v>
      </c>
      <c r="K517" s="57" t="s">
        <v>15</v>
      </c>
      <c r="L517" s="1" t="s">
        <v>444</v>
      </c>
      <c r="M517" s="55" t="s">
        <v>85</v>
      </c>
      <c r="N517" s="55" t="s">
        <v>85</v>
      </c>
      <c r="O517" s="104"/>
      <c r="P517" s="29"/>
      <c r="Q517" s="251"/>
      <c r="R517" s="104"/>
      <c r="S517" s="104"/>
      <c r="T517" s="104"/>
      <c r="U517" s="104"/>
      <c r="V517" s="104"/>
      <c r="W517" s="57"/>
      <c r="X517" s="57" t="s">
        <v>12</v>
      </c>
      <c r="Y517" s="93"/>
      <c r="Z517" s="308" t="s">
        <v>1076</v>
      </c>
      <c r="AA517" s="5" t="s">
        <v>86</v>
      </c>
      <c r="AB517" s="5" t="s">
        <v>1294</v>
      </c>
      <c r="AC517" s="117"/>
      <c r="AD51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1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51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51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17"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17"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17" s="32">
        <f t="shared" si="40"/>
        <v>0</v>
      </c>
      <c r="AK517" s="32">
        <f t="shared" si="38"/>
        <v>0</v>
      </c>
      <c r="AL517" s="32">
        <f t="shared" si="41"/>
        <v>0</v>
      </c>
      <c r="AM517" s="6"/>
    </row>
    <row r="518" spans="1:39" ht="31.5" customHeight="1">
      <c r="A518" s="5" t="s">
        <v>38</v>
      </c>
      <c r="B518" s="5" t="s">
        <v>83</v>
      </c>
      <c r="C518" s="5" t="s">
        <v>312</v>
      </c>
      <c r="D518" s="26"/>
      <c r="E518" s="57"/>
      <c r="F518" s="5" t="s">
        <v>92</v>
      </c>
      <c r="G518" s="5" t="s">
        <v>167</v>
      </c>
      <c r="H518" s="64" t="s">
        <v>20</v>
      </c>
      <c r="I518" s="57" t="s">
        <v>15</v>
      </c>
      <c r="J518" s="51" t="s">
        <v>8</v>
      </c>
      <c r="K518" s="57" t="s">
        <v>15</v>
      </c>
      <c r="L518" s="1" t="s">
        <v>444</v>
      </c>
      <c r="M518" s="55" t="s">
        <v>85</v>
      </c>
      <c r="N518" s="55" t="s">
        <v>85</v>
      </c>
      <c r="O518" s="104"/>
      <c r="P518" s="29"/>
      <c r="Q518" s="251"/>
      <c r="R518" s="104"/>
      <c r="S518" s="104"/>
      <c r="T518" s="104"/>
      <c r="U518" s="104"/>
      <c r="V518" s="104"/>
      <c r="W518" s="57"/>
      <c r="X518" s="57" t="s">
        <v>12</v>
      </c>
      <c r="Y518" s="93"/>
      <c r="Z518" s="308" t="s">
        <v>1076</v>
      </c>
      <c r="AA518" s="5" t="s">
        <v>86</v>
      </c>
      <c r="AB518" s="5" t="s">
        <v>1294</v>
      </c>
      <c r="AC518" s="117"/>
      <c r="AD51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1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51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51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18"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18"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18" s="10">
        <f t="shared" si="40"/>
        <v>0</v>
      </c>
      <c r="AK518" s="10">
        <f t="shared" si="38"/>
        <v>0</v>
      </c>
      <c r="AL518" s="10">
        <f t="shared" si="41"/>
        <v>0</v>
      </c>
      <c r="AM518" s="6"/>
    </row>
    <row r="519" spans="1:39" ht="31.5" customHeight="1">
      <c r="A519" s="5" t="s">
        <v>38</v>
      </c>
      <c r="B519" s="5" t="s">
        <v>83</v>
      </c>
      <c r="C519" s="5" t="s">
        <v>312</v>
      </c>
      <c r="D519" s="26"/>
      <c r="E519" s="57"/>
      <c r="F519" s="5" t="s">
        <v>94</v>
      </c>
      <c r="G519" s="5" t="s">
        <v>88</v>
      </c>
      <c r="H519" s="64" t="s">
        <v>14</v>
      </c>
      <c r="I519" s="57" t="s">
        <v>15</v>
      </c>
      <c r="J519" s="51" t="s">
        <v>8</v>
      </c>
      <c r="K519" s="57" t="s">
        <v>15</v>
      </c>
      <c r="L519" s="1" t="s">
        <v>444</v>
      </c>
      <c r="M519" s="55" t="s">
        <v>246</v>
      </c>
      <c r="N519" s="55" t="s">
        <v>243</v>
      </c>
      <c r="O519" s="104">
        <v>84.745917376725373</v>
      </c>
      <c r="P519" s="29"/>
      <c r="Q519" s="251">
        <v>0.56000000000000005</v>
      </c>
      <c r="R519" s="104">
        <v>15.104110027186952</v>
      </c>
      <c r="S519" s="104">
        <v>2.7310243953403335</v>
      </c>
      <c r="T519" s="104">
        <v>32.593926701570673</v>
      </c>
      <c r="U519" s="104">
        <v>33.666856252627419</v>
      </c>
      <c r="V519" s="104"/>
      <c r="W519" s="57" t="s">
        <v>13</v>
      </c>
      <c r="X519" s="57" t="s">
        <v>12</v>
      </c>
      <c r="Y519" s="93"/>
      <c r="Z519" s="308" t="s">
        <v>1076</v>
      </c>
      <c r="AA519" s="5" t="s">
        <v>86</v>
      </c>
      <c r="AB519" s="5" t="s">
        <v>1293</v>
      </c>
      <c r="AC519" s="117"/>
      <c r="AD51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0.56000000000000005</v>
      </c>
      <c r="AE51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14.764525930779035</v>
      </c>
      <c r="AF51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2.6198459910194418</v>
      </c>
      <c r="AG51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30.714191578477916</v>
      </c>
      <c r="AH519"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31.194930043914443</v>
      </c>
      <c r="AI519"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19" s="32">
        <f t="shared" si="40"/>
        <v>48.658563500276394</v>
      </c>
      <c r="AK519" s="32">
        <f t="shared" si="38"/>
        <v>31.194930043914443</v>
      </c>
      <c r="AL519" s="32">
        <f t="shared" si="41"/>
        <v>79.293493544190838</v>
      </c>
      <c r="AM519" s="6"/>
    </row>
    <row r="520" spans="1:39" ht="31.5" customHeight="1">
      <c r="A520" s="5" t="s">
        <v>38</v>
      </c>
      <c r="B520" s="5" t="s">
        <v>83</v>
      </c>
      <c r="C520" s="5" t="s">
        <v>312</v>
      </c>
      <c r="D520" s="26"/>
      <c r="E520" s="57"/>
      <c r="F520" s="5" t="s">
        <v>319</v>
      </c>
      <c r="G520" s="5" t="s">
        <v>314</v>
      </c>
      <c r="H520" s="64" t="s">
        <v>25</v>
      </c>
      <c r="I520" s="57" t="s">
        <v>15</v>
      </c>
      <c r="J520" s="51" t="s">
        <v>8</v>
      </c>
      <c r="K520" s="57" t="s">
        <v>15</v>
      </c>
      <c r="L520" s="1" t="s">
        <v>444</v>
      </c>
      <c r="M520" s="55" t="s">
        <v>85</v>
      </c>
      <c r="N520" s="55" t="s">
        <v>85</v>
      </c>
      <c r="O520" s="104"/>
      <c r="P520" s="29"/>
      <c r="Q520" s="251"/>
      <c r="R520" s="104"/>
      <c r="S520" s="104"/>
      <c r="T520" s="104"/>
      <c r="U520" s="104"/>
      <c r="V520" s="104"/>
      <c r="W520" s="57"/>
      <c r="X520" s="57" t="s">
        <v>12</v>
      </c>
      <c r="Y520" s="93"/>
      <c r="Z520" s="308" t="s">
        <v>1076</v>
      </c>
      <c r="AA520" s="5" t="s">
        <v>86</v>
      </c>
      <c r="AB520" s="5" t="s">
        <v>1294</v>
      </c>
      <c r="AC520" s="117"/>
      <c r="AD52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2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52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52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20"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20"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20" s="32">
        <f t="shared" si="40"/>
        <v>0</v>
      </c>
      <c r="AK520" s="32">
        <f t="shared" si="38"/>
        <v>0</v>
      </c>
      <c r="AL520" s="32">
        <f t="shared" si="41"/>
        <v>0</v>
      </c>
      <c r="AM520" s="6"/>
    </row>
    <row r="521" spans="1:39" ht="31.5" customHeight="1">
      <c r="A521" s="5" t="s">
        <v>38</v>
      </c>
      <c r="B521" s="5" t="s">
        <v>83</v>
      </c>
      <c r="C521" s="5" t="s">
        <v>312</v>
      </c>
      <c r="D521" s="26"/>
      <c r="E521" s="57"/>
      <c r="F521" s="5" t="s">
        <v>318</v>
      </c>
      <c r="G521" s="5" t="s">
        <v>314</v>
      </c>
      <c r="H521" s="64" t="s">
        <v>20</v>
      </c>
      <c r="I521" s="57" t="s">
        <v>15</v>
      </c>
      <c r="J521" s="51" t="s">
        <v>8</v>
      </c>
      <c r="K521" s="57" t="s">
        <v>15</v>
      </c>
      <c r="L521" s="1" t="s">
        <v>444</v>
      </c>
      <c r="M521" s="55" t="s">
        <v>85</v>
      </c>
      <c r="N521" s="55" t="s">
        <v>85</v>
      </c>
      <c r="O521" s="104"/>
      <c r="P521" s="29"/>
      <c r="Q521" s="251"/>
      <c r="R521" s="104"/>
      <c r="S521" s="104"/>
      <c r="T521" s="104"/>
      <c r="U521" s="104"/>
      <c r="V521" s="104"/>
      <c r="W521" s="57"/>
      <c r="X521" s="57" t="s">
        <v>12</v>
      </c>
      <c r="Y521" s="93"/>
      <c r="Z521" s="308" t="s">
        <v>1076</v>
      </c>
      <c r="AA521" s="5" t="s">
        <v>86</v>
      </c>
      <c r="AB521" s="5" t="s">
        <v>1294</v>
      </c>
      <c r="AC521" s="117"/>
      <c r="AD52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2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52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52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21"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21"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21" s="32">
        <f t="shared" si="40"/>
        <v>0</v>
      </c>
      <c r="AK521" s="32">
        <f t="shared" si="38"/>
        <v>0</v>
      </c>
      <c r="AL521" s="32">
        <f t="shared" si="41"/>
        <v>0</v>
      </c>
      <c r="AM521" s="6"/>
    </row>
    <row r="522" spans="1:39" ht="31.5" customHeight="1">
      <c r="A522" s="5" t="s">
        <v>38</v>
      </c>
      <c r="B522" s="5" t="s">
        <v>83</v>
      </c>
      <c r="C522" s="5" t="s">
        <v>312</v>
      </c>
      <c r="D522" s="26"/>
      <c r="E522" s="57"/>
      <c r="F522" s="5" t="s">
        <v>329</v>
      </c>
      <c r="G522" s="5" t="s">
        <v>88</v>
      </c>
      <c r="H522" s="64" t="s">
        <v>25</v>
      </c>
      <c r="I522" s="57" t="s">
        <v>15</v>
      </c>
      <c r="J522" s="51" t="s">
        <v>8</v>
      </c>
      <c r="K522" s="57" t="s">
        <v>15</v>
      </c>
      <c r="L522" s="1" t="s">
        <v>444</v>
      </c>
      <c r="M522" s="55" t="s">
        <v>85</v>
      </c>
      <c r="N522" s="55" t="s">
        <v>85</v>
      </c>
      <c r="O522" s="104"/>
      <c r="P522" s="29"/>
      <c r="Q522" s="251"/>
      <c r="R522" s="104"/>
      <c r="S522" s="104"/>
      <c r="T522" s="104"/>
      <c r="U522" s="104"/>
      <c r="V522" s="104"/>
      <c r="W522" s="57"/>
      <c r="X522" s="57" t="s">
        <v>12</v>
      </c>
      <c r="Y522" s="93"/>
      <c r="Z522" s="308" t="s">
        <v>1076</v>
      </c>
      <c r="AA522" s="5" t="s">
        <v>86</v>
      </c>
      <c r="AB522" s="5" t="s">
        <v>1294</v>
      </c>
      <c r="AC522" s="117"/>
      <c r="AD52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2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52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52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22"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22"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22" s="32">
        <f t="shared" si="40"/>
        <v>0</v>
      </c>
      <c r="AK522" s="32">
        <f t="shared" si="38"/>
        <v>0</v>
      </c>
      <c r="AL522" s="32">
        <f t="shared" si="41"/>
        <v>0</v>
      </c>
      <c r="AM522" s="6"/>
    </row>
    <row r="523" spans="1:39" ht="31.5" customHeight="1">
      <c r="A523" s="5" t="s">
        <v>38</v>
      </c>
      <c r="B523" s="5" t="s">
        <v>83</v>
      </c>
      <c r="C523" s="5" t="s">
        <v>312</v>
      </c>
      <c r="D523" s="26"/>
      <c r="E523" s="57"/>
      <c r="F523" s="5" t="s">
        <v>117</v>
      </c>
      <c r="G523" s="5" t="s">
        <v>167</v>
      </c>
      <c r="H523" s="64" t="s">
        <v>25</v>
      </c>
      <c r="I523" s="57" t="s">
        <v>15</v>
      </c>
      <c r="J523" s="51" t="s">
        <v>8</v>
      </c>
      <c r="K523" s="57" t="s">
        <v>282</v>
      </c>
      <c r="L523" s="1" t="s">
        <v>444</v>
      </c>
      <c r="M523" s="55" t="s">
        <v>85</v>
      </c>
      <c r="N523" s="55" t="s">
        <v>85</v>
      </c>
      <c r="O523" s="104"/>
      <c r="P523" s="29"/>
      <c r="Q523" s="251"/>
      <c r="R523" s="104"/>
      <c r="S523" s="104"/>
      <c r="T523" s="104"/>
      <c r="U523" s="104"/>
      <c r="V523" s="104"/>
      <c r="W523" s="57"/>
      <c r="X523" s="57" t="s">
        <v>12</v>
      </c>
      <c r="Y523" s="93"/>
      <c r="Z523" s="308" t="s">
        <v>1076</v>
      </c>
      <c r="AA523" s="5" t="s">
        <v>86</v>
      </c>
      <c r="AB523" s="5" t="s">
        <v>1294</v>
      </c>
      <c r="AC523" s="117"/>
      <c r="AD52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2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52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52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23"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23"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23" s="32">
        <f t="shared" si="40"/>
        <v>0</v>
      </c>
      <c r="AK523" s="32">
        <f t="shared" ref="AK523:AK538" si="42">+SUM(AH523:AI523)</f>
        <v>0</v>
      </c>
      <c r="AL523" s="32">
        <f t="shared" si="41"/>
        <v>0</v>
      </c>
      <c r="AM523" s="6"/>
    </row>
    <row r="524" spans="1:39" ht="31.5" customHeight="1">
      <c r="A524" s="5" t="s">
        <v>38</v>
      </c>
      <c r="B524" s="5" t="s">
        <v>83</v>
      </c>
      <c r="C524" s="5" t="s">
        <v>312</v>
      </c>
      <c r="D524" s="26"/>
      <c r="E524" s="57"/>
      <c r="F524" s="5" t="s">
        <v>320</v>
      </c>
      <c r="G524" s="5" t="s">
        <v>314</v>
      </c>
      <c r="H524" s="64" t="s">
        <v>25</v>
      </c>
      <c r="I524" s="57" t="s">
        <v>15</v>
      </c>
      <c r="J524" s="51" t="s">
        <v>8</v>
      </c>
      <c r="K524" s="57" t="s">
        <v>15</v>
      </c>
      <c r="L524" s="1" t="s">
        <v>444</v>
      </c>
      <c r="M524" s="55" t="s">
        <v>85</v>
      </c>
      <c r="N524" s="55" t="s">
        <v>85</v>
      </c>
      <c r="O524" s="104"/>
      <c r="P524" s="29"/>
      <c r="Q524" s="251"/>
      <c r="R524" s="104"/>
      <c r="S524" s="104"/>
      <c r="T524" s="104"/>
      <c r="U524" s="104"/>
      <c r="V524" s="104"/>
      <c r="W524" s="57"/>
      <c r="X524" s="57" t="s">
        <v>12</v>
      </c>
      <c r="Y524" s="93"/>
      <c r="Z524" s="308" t="s">
        <v>1076</v>
      </c>
      <c r="AA524" s="5" t="s">
        <v>86</v>
      </c>
      <c r="AB524" s="5" t="s">
        <v>1294</v>
      </c>
      <c r="AC524" s="117"/>
      <c r="AD52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2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52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52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24"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24"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24" s="32">
        <f t="shared" si="40"/>
        <v>0</v>
      </c>
      <c r="AK524" s="32">
        <f t="shared" si="42"/>
        <v>0</v>
      </c>
      <c r="AL524" s="32">
        <f t="shared" si="41"/>
        <v>0</v>
      </c>
      <c r="AM524" s="6"/>
    </row>
    <row r="525" spans="1:39" ht="31.5" customHeight="1">
      <c r="A525" s="5" t="s">
        <v>38</v>
      </c>
      <c r="B525" s="5" t="s">
        <v>83</v>
      </c>
      <c r="C525" s="5" t="s">
        <v>312</v>
      </c>
      <c r="D525" s="26"/>
      <c r="E525" s="57"/>
      <c r="F525" s="5" t="s">
        <v>327</v>
      </c>
      <c r="G525" s="5" t="s">
        <v>88</v>
      </c>
      <c r="H525" s="64" t="s">
        <v>25</v>
      </c>
      <c r="I525" s="57" t="s">
        <v>15</v>
      </c>
      <c r="J525" s="51" t="s">
        <v>8</v>
      </c>
      <c r="K525" s="57" t="s">
        <v>15</v>
      </c>
      <c r="L525" s="1" t="s">
        <v>444</v>
      </c>
      <c r="M525" s="55" t="s">
        <v>85</v>
      </c>
      <c r="N525" s="55" t="s">
        <v>85</v>
      </c>
      <c r="O525" s="104"/>
      <c r="P525" s="29"/>
      <c r="Q525" s="251"/>
      <c r="R525" s="104"/>
      <c r="S525" s="104"/>
      <c r="T525" s="104"/>
      <c r="U525" s="104"/>
      <c r="V525" s="104"/>
      <c r="W525" s="57"/>
      <c r="X525" s="57" t="s">
        <v>12</v>
      </c>
      <c r="Y525" s="93"/>
      <c r="Z525" s="308" t="s">
        <v>1076</v>
      </c>
      <c r="AA525" s="5" t="s">
        <v>86</v>
      </c>
      <c r="AB525" s="5" t="s">
        <v>1294</v>
      </c>
      <c r="AC525" s="117"/>
      <c r="AD52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2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52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52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25"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25"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25" s="32">
        <f t="shared" si="40"/>
        <v>0</v>
      </c>
      <c r="AK525" s="32">
        <f t="shared" si="42"/>
        <v>0</v>
      </c>
      <c r="AL525" s="32">
        <f t="shared" si="41"/>
        <v>0</v>
      </c>
      <c r="AM525" s="6"/>
    </row>
    <row r="526" spans="1:39" ht="31.5" customHeight="1">
      <c r="A526" s="5" t="s">
        <v>38</v>
      </c>
      <c r="B526" s="5" t="s">
        <v>83</v>
      </c>
      <c r="C526" s="5" t="s">
        <v>312</v>
      </c>
      <c r="D526" s="26"/>
      <c r="E526" s="57"/>
      <c r="F526" s="5" t="s">
        <v>328</v>
      </c>
      <c r="G526" s="5" t="s">
        <v>88</v>
      </c>
      <c r="H526" s="64" t="s">
        <v>25</v>
      </c>
      <c r="I526" s="57" t="s">
        <v>15</v>
      </c>
      <c r="J526" s="51" t="s">
        <v>8</v>
      </c>
      <c r="K526" s="57" t="s">
        <v>15</v>
      </c>
      <c r="L526" s="1" t="s">
        <v>444</v>
      </c>
      <c r="M526" s="55" t="s">
        <v>85</v>
      </c>
      <c r="N526" s="55" t="s">
        <v>85</v>
      </c>
      <c r="O526" s="104"/>
      <c r="P526" s="29"/>
      <c r="Q526" s="251"/>
      <c r="R526" s="104"/>
      <c r="S526" s="104"/>
      <c r="T526" s="104"/>
      <c r="U526" s="104"/>
      <c r="V526" s="104"/>
      <c r="W526" s="57"/>
      <c r="X526" s="57" t="s">
        <v>12</v>
      </c>
      <c r="Y526" s="93"/>
      <c r="Z526" s="308" t="s">
        <v>1076</v>
      </c>
      <c r="AA526" s="5" t="s">
        <v>86</v>
      </c>
      <c r="AB526" s="5" t="s">
        <v>1294</v>
      </c>
      <c r="AC526" s="117"/>
      <c r="AD52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2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52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52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26"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26"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26" s="32">
        <f t="shared" si="40"/>
        <v>0</v>
      </c>
      <c r="AK526" s="32">
        <f t="shared" si="42"/>
        <v>0</v>
      </c>
      <c r="AL526" s="32">
        <f t="shared" si="41"/>
        <v>0</v>
      </c>
      <c r="AM526" s="6"/>
    </row>
    <row r="527" spans="1:39" ht="31.5" customHeight="1">
      <c r="A527" s="5" t="s">
        <v>38</v>
      </c>
      <c r="B527" s="5" t="s">
        <v>83</v>
      </c>
      <c r="C527" s="5" t="s">
        <v>312</v>
      </c>
      <c r="D527" s="26"/>
      <c r="E527" s="57"/>
      <c r="F527" s="5" t="s">
        <v>313</v>
      </c>
      <c r="G527" s="5" t="s">
        <v>314</v>
      </c>
      <c r="H527" s="64" t="s">
        <v>25</v>
      </c>
      <c r="I527" s="57" t="s">
        <v>15</v>
      </c>
      <c r="J527" s="51" t="s">
        <v>8</v>
      </c>
      <c r="K527" s="57" t="s">
        <v>15</v>
      </c>
      <c r="L527" s="1" t="s">
        <v>444</v>
      </c>
      <c r="M527" s="55" t="s">
        <v>85</v>
      </c>
      <c r="N527" s="55" t="s">
        <v>85</v>
      </c>
      <c r="O527" s="104">
        <v>58.29858890520218</v>
      </c>
      <c r="P527" s="29"/>
      <c r="Q527" s="251">
        <v>0.9</v>
      </c>
      <c r="R527" s="104">
        <v>23.113865344634576</v>
      </c>
      <c r="S527" s="104">
        <v>2.5876456145849662</v>
      </c>
      <c r="T527" s="104">
        <v>7.6470366492146589</v>
      </c>
      <c r="U527" s="104">
        <v>22.470041296767974</v>
      </c>
      <c r="V527" s="104"/>
      <c r="W527" s="57" t="s">
        <v>13</v>
      </c>
      <c r="X527" s="57" t="s">
        <v>12</v>
      </c>
      <c r="Y527" s="93"/>
      <c r="Z527" s="308" t="s">
        <v>1076</v>
      </c>
      <c r="AA527" s="5" t="s">
        <v>86</v>
      </c>
      <c r="AB527" s="5" t="s">
        <v>1294</v>
      </c>
      <c r="AC527" s="117"/>
      <c r="AD52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0.9</v>
      </c>
      <c r="AE52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22.594198772858824</v>
      </c>
      <c r="AF52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2.4823040764909217</v>
      </c>
      <c r="AG52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7.2060218703352046</v>
      </c>
      <c r="AH527"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20.820220369754367</v>
      </c>
      <c r="AI527"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27" s="32">
        <f t="shared" si="40"/>
        <v>33.182524719684949</v>
      </c>
      <c r="AK527" s="32">
        <f t="shared" si="42"/>
        <v>20.820220369754367</v>
      </c>
      <c r="AL527" s="32">
        <f t="shared" si="41"/>
        <v>53.102745089439317</v>
      </c>
      <c r="AM527" s="6"/>
    </row>
    <row r="528" spans="1:39" ht="31.5" customHeight="1">
      <c r="A528" s="5" t="s">
        <v>38</v>
      </c>
      <c r="B528" s="5" t="s">
        <v>83</v>
      </c>
      <c r="C528" s="5" t="s">
        <v>312</v>
      </c>
      <c r="D528" s="26"/>
      <c r="E528" s="57"/>
      <c r="F528" s="5" t="s">
        <v>317</v>
      </c>
      <c r="G528" s="5" t="s">
        <v>314</v>
      </c>
      <c r="H528" s="64" t="s">
        <v>18</v>
      </c>
      <c r="I528" s="57" t="s">
        <v>15</v>
      </c>
      <c r="J528" s="51" t="s">
        <v>8</v>
      </c>
      <c r="K528" s="57" t="s">
        <v>15</v>
      </c>
      <c r="L528" s="1" t="s">
        <v>444</v>
      </c>
      <c r="M528" s="55" t="s">
        <v>85</v>
      </c>
      <c r="N528" s="55" t="s">
        <v>85</v>
      </c>
      <c r="O528" s="104"/>
      <c r="P528" s="29"/>
      <c r="Q528" s="251"/>
      <c r="R528" s="104"/>
      <c r="S528" s="104"/>
      <c r="T528" s="104"/>
      <c r="U528" s="104"/>
      <c r="V528" s="104"/>
      <c r="W528" s="57"/>
      <c r="X528" s="57" t="s">
        <v>12</v>
      </c>
      <c r="Y528" s="93"/>
      <c r="Z528" s="308" t="s">
        <v>1076</v>
      </c>
      <c r="AA528" s="5" t="s">
        <v>86</v>
      </c>
      <c r="AB528" s="5" t="s">
        <v>1294</v>
      </c>
      <c r="AC528" s="117"/>
      <c r="AD52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2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52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52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28"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28"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28" s="32">
        <f t="shared" si="40"/>
        <v>0</v>
      </c>
      <c r="AK528" s="32">
        <f t="shared" si="42"/>
        <v>0</v>
      </c>
      <c r="AL528" s="32">
        <f t="shared" si="41"/>
        <v>0</v>
      </c>
      <c r="AM528" s="6"/>
    </row>
    <row r="529" spans="1:39" ht="31.5" customHeight="1">
      <c r="A529" s="5" t="s">
        <v>38</v>
      </c>
      <c r="B529" s="5" t="s">
        <v>83</v>
      </c>
      <c r="C529" s="5" t="s">
        <v>312</v>
      </c>
      <c r="D529" s="26"/>
      <c r="E529" s="57"/>
      <c r="F529" s="5" t="s">
        <v>116</v>
      </c>
      <c r="G529" s="5" t="s">
        <v>88</v>
      </c>
      <c r="H529" s="64" t="s">
        <v>18</v>
      </c>
      <c r="I529" s="57" t="s">
        <v>15</v>
      </c>
      <c r="J529" s="51" t="s">
        <v>8</v>
      </c>
      <c r="K529" s="57" t="s">
        <v>282</v>
      </c>
      <c r="L529" s="1" t="s">
        <v>444</v>
      </c>
      <c r="M529" s="55" t="s">
        <v>85</v>
      </c>
      <c r="N529" s="55" t="s">
        <v>85</v>
      </c>
      <c r="O529" s="104"/>
      <c r="P529" s="29"/>
      <c r="Q529" s="251"/>
      <c r="R529" s="104"/>
      <c r="S529" s="104"/>
      <c r="T529" s="104"/>
      <c r="U529" s="104"/>
      <c r="V529" s="104"/>
      <c r="W529" s="57"/>
      <c r="X529" s="57" t="s">
        <v>12</v>
      </c>
      <c r="Y529" s="93"/>
      <c r="Z529" s="308" t="s">
        <v>1076</v>
      </c>
      <c r="AA529" s="5" t="s">
        <v>86</v>
      </c>
      <c r="AB529" s="5" t="s">
        <v>1294</v>
      </c>
      <c r="AC529" s="117"/>
      <c r="AD52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2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52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52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29"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29"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29" s="32">
        <f t="shared" si="40"/>
        <v>0</v>
      </c>
      <c r="AK529" s="32">
        <f t="shared" si="42"/>
        <v>0</v>
      </c>
      <c r="AL529" s="32">
        <f t="shared" si="41"/>
        <v>0</v>
      </c>
      <c r="AM529" s="6"/>
    </row>
    <row r="530" spans="1:39" ht="31.5" customHeight="1">
      <c r="A530" s="5" t="s">
        <v>38</v>
      </c>
      <c r="B530" s="5" t="s">
        <v>83</v>
      </c>
      <c r="C530" s="5" t="s">
        <v>312</v>
      </c>
      <c r="D530" s="26"/>
      <c r="E530" s="57"/>
      <c r="F530" s="5" t="s">
        <v>324</v>
      </c>
      <c r="G530" s="5" t="s">
        <v>88</v>
      </c>
      <c r="H530" s="64" t="s">
        <v>21</v>
      </c>
      <c r="I530" s="57" t="s">
        <v>15</v>
      </c>
      <c r="J530" s="51" t="s">
        <v>8</v>
      </c>
      <c r="K530" s="57" t="s">
        <v>15</v>
      </c>
      <c r="L530" s="1" t="s">
        <v>444</v>
      </c>
      <c r="M530" s="55" t="s">
        <v>85</v>
      </c>
      <c r="N530" s="55" t="s">
        <v>85</v>
      </c>
      <c r="O530" s="104"/>
      <c r="P530" s="29"/>
      <c r="Q530" s="251"/>
      <c r="R530" s="104"/>
      <c r="S530" s="104"/>
      <c r="T530" s="104"/>
      <c r="U530" s="104"/>
      <c r="V530" s="104"/>
      <c r="W530" s="57"/>
      <c r="X530" s="57" t="s">
        <v>12</v>
      </c>
      <c r="Y530" s="93"/>
      <c r="Z530" s="308" t="s">
        <v>1076</v>
      </c>
      <c r="AA530" s="5" t="s">
        <v>86</v>
      </c>
      <c r="AB530" s="5" t="s">
        <v>1294</v>
      </c>
      <c r="AC530" s="117"/>
      <c r="AD53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3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53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53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30"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30"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30" s="32">
        <f t="shared" si="40"/>
        <v>0</v>
      </c>
      <c r="AK530" s="32">
        <f t="shared" si="42"/>
        <v>0</v>
      </c>
      <c r="AL530" s="32">
        <f t="shared" si="41"/>
        <v>0</v>
      </c>
      <c r="AM530" s="6"/>
    </row>
    <row r="531" spans="1:39" ht="31.5" customHeight="1">
      <c r="A531" s="5" t="s">
        <v>38</v>
      </c>
      <c r="B531" s="5" t="s">
        <v>83</v>
      </c>
      <c r="C531" s="5" t="s">
        <v>312</v>
      </c>
      <c r="D531" s="26"/>
      <c r="E531" s="57"/>
      <c r="F531" s="5" t="s">
        <v>325</v>
      </c>
      <c r="G531" s="5" t="s">
        <v>88</v>
      </c>
      <c r="H531" s="64" t="s">
        <v>18</v>
      </c>
      <c r="I531" s="57" t="s">
        <v>15</v>
      </c>
      <c r="J531" s="51" t="s">
        <v>8</v>
      </c>
      <c r="K531" s="57" t="s">
        <v>15</v>
      </c>
      <c r="L531" s="1" t="s">
        <v>444</v>
      </c>
      <c r="M531" s="55" t="s">
        <v>85</v>
      </c>
      <c r="N531" s="55" t="s">
        <v>85</v>
      </c>
      <c r="O531" s="104"/>
      <c r="P531" s="29"/>
      <c r="Q531" s="251"/>
      <c r="R531" s="104"/>
      <c r="S531" s="104"/>
      <c r="T531" s="104"/>
      <c r="U531" s="104"/>
      <c r="V531" s="104"/>
      <c r="W531" s="57"/>
      <c r="X531" s="57" t="s">
        <v>12</v>
      </c>
      <c r="Y531" s="93"/>
      <c r="Z531" s="308" t="s">
        <v>1076</v>
      </c>
      <c r="AA531" s="5" t="s">
        <v>86</v>
      </c>
      <c r="AB531" s="5" t="s">
        <v>1294</v>
      </c>
      <c r="AC531" s="117"/>
      <c r="AD53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3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53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53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31"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31"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31" s="32">
        <f t="shared" si="40"/>
        <v>0</v>
      </c>
      <c r="AK531" s="32">
        <f t="shared" si="42"/>
        <v>0</v>
      </c>
      <c r="AL531" s="32">
        <f t="shared" si="41"/>
        <v>0</v>
      </c>
      <c r="AM531" s="6"/>
    </row>
    <row r="532" spans="1:39" ht="31.5" customHeight="1">
      <c r="A532" s="5" t="s">
        <v>38</v>
      </c>
      <c r="B532" s="5" t="s">
        <v>83</v>
      </c>
      <c r="C532" s="5" t="s">
        <v>312</v>
      </c>
      <c r="D532" s="26"/>
      <c r="E532" s="57"/>
      <c r="F532" s="5" t="s">
        <v>316</v>
      </c>
      <c r="G532" s="5" t="s">
        <v>88</v>
      </c>
      <c r="H532" s="64" t="s">
        <v>21</v>
      </c>
      <c r="I532" s="57" t="s">
        <v>15</v>
      </c>
      <c r="J532" s="51" t="s">
        <v>8</v>
      </c>
      <c r="K532" s="57" t="s">
        <v>15</v>
      </c>
      <c r="L532" s="1" t="s">
        <v>444</v>
      </c>
      <c r="M532" s="55" t="s">
        <v>85</v>
      </c>
      <c r="N532" s="55" t="s">
        <v>85</v>
      </c>
      <c r="O532" s="104"/>
      <c r="P532" s="29"/>
      <c r="Q532" s="251"/>
      <c r="R532" s="104"/>
      <c r="S532" s="104"/>
      <c r="T532" s="104"/>
      <c r="U532" s="104"/>
      <c r="V532" s="104"/>
      <c r="W532" s="57"/>
      <c r="X532" s="57" t="s">
        <v>12</v>
      </c>
      <c r="Y532" s="93"/>
      <c r="Z532" s="308" t="s">
        <v>1076</v>
      </c>
      <c r="AA532" s="5" t="s">
        <v>86</v>
      </c>
      <c r="AB532" s="5" t="s">
        <v>1294</v>
      </c>
      <c r="AC532" s="117"/>
      <c r="AD53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3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53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53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32"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32"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32" s="32">
        <f t="shared" si="40"/>
        <v>0</v>
      </c>
      <c r="AK532" s="32">
        <f t="shared" si="42"/>
        <v>0</v>
      </c>
      <c r="AL532" s="32">
        <f t="shared" si="41"/>
        <v>0</v>
      </c>
      <c r="AM532" s="6"/>
    </row>
    <row r="533" spans="1:39" ht="31.5" customHeight="1">
      <c r="A533" s="5" t="s">
        <v>38</v>
      </c>
      <c r="B533" s="5" t="s">
        <v>83</v>
      </c>
      <c r="C533" s="5" t="s">
        <v>312</v>
      </c>
      <c r="D533" s="26"/>
      <c r="E533" s="57"/>
      <c r="F533" s="5" t="s">
        <v>323</v>
      </c>
      <c r="G533" s="5" t="s">
        <v>88</v>
      </c>
      <c r="H533" s="64" t="s">
        <v>21</v>
      </c>
      <c r="I533" s="57" t="s">
        <v>15</v>
      </c>
      <c r="J533" s="51" t="s">
        <v>8</v>
      </c>
      <c r="K533" s="57" t="s">
        <v>15</v>
      </c>
      <c r="L533" s="1" t="s">
        <v>444</v>
      </c>
      <c r="M533" s="55" t="s">
        <v>85</v>
      </c>
      <c r="N533" s="55" t="s">
        <v>85</v>
      </c>
      <c r="O533" s="104"/>
      <c r="P533" s="29"/>
      <c r="Q533" s="251"/>
      <c r="R533" s="104"/>
      <c r="S533" s="104"/>
      <c r="T533" s="104"/>
      <c r="U533" s="104"/>
      <c r="V533" s="104"/>
      <c r="W533" s="57"/>
      <c r="X533" s="57" t="s">
        <v>12</v>
      </c>
      <c r="Y533" s="93"/>
      <c r="Z533" s="308" t="s">
        <v>1076</v>
      </c>
      <c r="AA533" s="5" t="s">
        <v>86</v>
      </c>
      <c r="AB533" s="5" t="s">
        <v>1294</v>
      </c>
      <c r="AC533" s="117"/>
      <c r="AD53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3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53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53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33"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33"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33" s="32">
        <f t="shared" si="40"/>
        <v>0</v>
      </c>
      <c r="AK533" s="32">
        <f t="shared" si="42"/>
        <v>0</v>
      </c>
      <c r="AL533" s="32">
        <f t="shared" si="41"/>
        <v>0</v>
      </c>
      <c r="AM533" s="6"/>
    </row>
    <row r="534" spans="1:39" ht="31.5" customHeight="1">
      <c r="A534" s="5" t="s">
        <v>38</v>
      </c>
      <c r="B534" s="5" t="s">
        <v>83</v>
      </c>
      <c r="C534" s="5" t="s">
        <v>312</v>
      </c>
      <c r="D534" s="26"/>
      <c r="E534" s="57"/>
      <c r="F534" s="5" t="s">
        <v>326</v>
      </c>
      <c r="G534" s="5" t="s">
        <v>88</v>
      </c>
      <c r="H534" s="64" t="s">
        <v>18</v>
      </c>
      <c r="I534" s="57" t="s">
        <v>15</v>
      </c>
      <c r="J534" s="51" t="s">
        <v>8</v>
      </c>
      <c r="K534" s="57" t="s">
        <v>15</v>
      </c>
      <c r="L534" s="1" t="s">
        <v>444</v>
      </c>
      <c r="M534" s="55" t="s">
        <v>85</v>
      </c>
      <c r="N534" s="55" t="s">
        <v>85</v>
      </c>
      <c r="O534" s="104"/>
      <c r="P534" s="29"/>
      <c r="Q534" s="251"/>
      <c r="R534" s="104"/>
      <c r="S534" s="104"/>
      <c r="T534" s="104"/>
      <c r="U534" s="104"/>
      <c r="V534" s="104"/>
      <c r="W534" s="57"/>
      <c r="X534" s="57" t="s">
        <v>12</v>
      </c>
      <c r="Y534" s="93"/>
      <c r="Z534" s="308" t="s">
        <v>1076</v>
      </c>
      <c r="AA534" s="5" t="s">
        <v>86</v>
      </c>
      <c r="AB534" s="5" t="s">
        <v>1294</v>
      </c>
      <c r="AC534" s="117"/>
      <c r="AD53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3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53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53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34"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34"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34" s="10">
        <f t="shared" si="40"/>
        <v>0</v>
      </c>
      <c r="AK534" s="10">
        <f t="shared" si="42"/>
        <v>0</v>
      </c>
      <c r="AL534" s="10">
        <f t="shared" si="41"/>
        <v>0</v>
      </c>
      <c r="AM534" s="6"/>
    </row>
    <row r="535" spans="1:39" ht="31.5" customHeight="1">
      <c r="A535" s="5" t="s">
        <v>38</v>
      </c>
      <c r="B535" s="5" t="s">
        <v>83</v>
      </c>
      <c r="C535" s="5" t="s">
        <v>312</v>
      </c>
      <c r="D535" s="26"/>
      <c r="E535" s="57"/>
      <c r="F535" s="5" t="s">
        <v>321</v>
      </c>
      <c r="G535" s="5" t="s">
        <v>1049</v>
      </c>
      <c r="H535" s="64" t="s">
        <v>21</v>
      </c>
      <c r="I535" s="57" t="s">
        <v>15</v>
      </c>
      <c r="J535" s="51" t="s">
        <v>8</v>
      </c>
      <c r="K535" s="57" t="s">
        <v>15</v>
      </c>
      <c r="L535" s="1" t="s">
        <v>444</v>
      </c>
      <c r="M535" s="55" t="s">
        <v>85</v>
      </c>
      <c r="N535" s="55" t="s">
        <v>85</v>
      </c>
      <c r="O535" s="104"/>
      <c r="P535" s="29"/>
      <c r="Q535" s="251"/>
      <c r="R535" s="104"/>
      <c r="S535" s="104"/>
      <c r="T535" s="104"/>
      <c r="U535" s="104"/>
      <c r="V535" s="104"/>
      <c r="W535" s="57"/>
      <c r="X535" s="57" t="s">
        <v>12</v>
      </c>
      <c r="Y535" s="93"/>
      <c r="Z535" s="308" t="s">
        <v>1076</v>
      </c>
      <c r="AA535" s="5" t="s">
        <v>86</v>
      </c>
      <c r="AB535" s="5" t="s">
        <v>1294</v>
      </c>
      <c r="AC535" s="117"/>
      <c r="AD53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3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53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53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35"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35"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35" s="10">
        <f t="shared" si="40"/>
        <v>0</v>
      </c>
      <c r="AK535" s="10">
        <f t="shared" si="42"/>
        <v>0</v>
      </c>
      <c r="AL535" s="10">
        <f t="shared" si="41"/>
        <v>0</v>
      </c>
      <c r="AM535" s="6"/>
    </row>
    <row r="536" spans="1:39" ht="31.5" customHeight="1">
      <c r="A536" s="5" t="s">
        <v>38</v>
      </c>
      <c r="B536" s="5" t="s">
        <v>83</v>
      </c>
      <c r="C536" s="5" t="s">
        <v>312</v>
      </c>
      <c r="D536" s="26"/>
      <c r="E536" s="57"/>
      <c r="F536" s="5" t="s">
        <v>322</v>
      </c>
      <c r="G536" s="5" t="s">
        <v>88</v>
      </c>
      <c r="H536" s="64" t="s">
        <v>21</v>
      </c>
      <c r="I536" s="57" t="s">
        <v>15</v>
      </c>
      <c r="J536" s="51" t="s">
        <v>8</v>
      </c>
      <c r="K536" s="57" t="s">
        <v>15</v>
      </c>
      <c r="L536" s="1" t="s">
        <v>444</v>
      </c>
      <c r="M536" s="55" t="s">
        <v>85</v>
      </c>
      <c r="N536" s="55" t="s">
        <v>85</v>
      </c>
      <c r="O536" s="104"/>
      <c r="P536" s="29"/>
      <c r="Q536" s="251"/>
      <c r="R536" s="104"/>
      <c r="S536" s="104"/>
      <c r="T536" s="104"/>
      <c r="U536" s="104"/>
      <c r="V536" s="104"/>
      <c r="W536" s="57"/>
      <c r="X536" s="57" t="s">
        <v>12</v>
      </c>
      <c r="Y536" s="93"/>
      <c r="Z536" s="308" t="s">
        <v>1076</v>
      </c>
      <c r="AA536" s="5" t="s">
        <v>86</v>
      </c>
      <c r="AB536" s="5" t="s">
        <v>1294</v>
      </c>
      <c r="AC536" s="117"/>
      <c r="AD53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3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53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53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36"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36"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36" s="10">
        <f t="shared" si="40"/>
        <v>0</v>
      </c>
      <c r="AK536" s="10">
        <f t="shared" si="42"/>
        <v>0</v>
      </c>
      <c r="AL536" s="10">
        <f t="shared" si="41"/>
        <v>0</v>
      </c>
      <c r="AM536" s="6"/>
    </row>
    <row r="537" spans="1:39" ht="31.5" customHeight="1">
      <c r="A537" s="25" t="s">
        <v>38</v>
      </c>
      <c r="B537" s="25" t="s">
        <v>83</v>
      </c>
      <c r="C537" s="18" t="s">
        <v>312</v>
      </c>
      <c r="D537" s="26" t="s">
        <v>301</v>
      </c>
      <c r="E537" s="27"/>
      <c r="F537" s="26"/>
      <c r="G537" s="28" t="s">
        <v>115</v>
      </c>
      <c r="H537" s="64" t="s">
        <v>39</v>
      </c>
      <c r="I537" s="66" t="s">
        <v>15</v>
      </c>
      <c r="J537" s="51" t="s">
        <v>8</v>
      </c>
      <c r="K537" s="109" t="s">
        <v>15</v>
      </c>
      <c r="L537" s="51" t="s">
        <v>444</v>
      </c>
      <c r="M537" s="75" t="s">
        <v>85</v>
      </c>
      <c r="N537" s="75" t="s">
        <v>85</v>
      </c>
      <c r="O537" s="104">
        <v>8263.81</v>
      </c>
      <c r="P537" s="29"/>
      <c r="Q537" s="251"/>
      <c r="R537" s="104"/>
      <c r="S537" s="104"/>
      <c r="T537" s="104">
        <v>110.21</v>
      </c>
      <c r="U537" s="104">
        <v>5139</v>
      </c>
      <c r="V537" s="104">
        <v>3014</v>
      </c>
      <c r="W537" s="119" t="s">
        <v>13</v>
      </c>
      <c r="X537" s="120" t="s">
        <v>12</v>
      </c>
      <c r="Y537" s="90"/>
      <c r="Z537" s="306" t="s">
        <v>1080</v>
      </c>
      <c r="AA537" s="17"/>
      <c r="AB537" s="5" t="s">
        <v>1295</v>
      </c>
      <c r="AC537" s="117"/>
      <c r="AD53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3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53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53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103.85404265209108</v>
      </c>
      <c r="AH537"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4761.6784974737702</v>
      </c>
      <c r="AI537"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2587.6362775182793</v>
      </c>
      <c r="AJ537" s="10">
        <f t="shared" si="40"/>
        <v>103.85404265209108</v>
      </c>
      <c r="AK537" s="10">
        <f t="shared" si="42"/>
        <v>7349.3147749920499</v>
      </c>
      <c r="AL537" s="10">
        <f t="shared" si="41"/>
        <v>7453.1688176441412</v>
      </c>
      <c r="AM537" s="6"/>
    </row>
    <row r="538" spans="1:39" ht="31.5" customHeight="1">
      <c r="A538" s="5" t="s">
        <v>38</v>
      </c>
      <c r="B538" s="5" t="s">
        <v>1016</v>
      </c>
      <c r="C538" s="18" t="s">
        <v>1015</v>
      </c>
      <c r="D538" s="26" t="s">
        <v>1019</v>
      </c>
      <c r="E538" s="27">
        <v>9</v>
      </c>
      <c r="F538" s="26"/>
      <c r="G538" s="28"/>
      <c r="H538" s="64" t="s">
        <v>20</v>
      </c>
      <c r="I538" s="57" t="s">
        <v>15</v>
      </c>
      <c r="J538" s="51" t="s">
        <v>8</v>
      </c>
      <c r="K538" s="57" t="s">
        <v>15</v>
      </c>
      <c r="L538" s="51" t="s">
        <v>1000</v>
      </c>
      <c r="M538" s="75" t="s">
        <v>1165</v>
      </c>
      <c r="N538" s="75" t="s">
        <v>248</v>
      </c>
      <c r="O538" s="104">
        <v>29.3</v>
      </c>
      <c r="P538" s="29"/>
      <c r="Q538" s="251">
        <v>1.5</v>
      </c>
      <c r="R538" s="104">
        <v>12.9</v>
      </c>
      <c r="S538" s="104">
        <v>14.9</v>
      </c>
      <c r="T538" s="104"/>
      <c r="U538" s="104"/>
      <c r="V538" s="104"/>
      <c r="W538" s="119"/>
      <c r="X538" s="120" t="s">
        <v>12</v>
      </c>
      <c r="Y538" s="88"/>
      <c r="Z538" s="306" t="s">
        <v>1078</v>
      </c>
      <c r="AA538" s="17" t="s">
        <v>1079</v>
      </c>
      <c r="AB538" s="26"/>
      <c r="AC538" s="117"/>
      <c r="AD53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1.5</v>
      </c>
      <c r="AE53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12.609970674486805</v>
      </c>
      <c r="AF53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14.293429722851359</v>
      </c>
      <c r="AG53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38"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38"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38" s="10">
        <f t="shared" si="40"/>
        <v>28.403400397338164</v>
      </c>
      <c r="AK538" s="10">
        <f t="shared" si="42"/>
        <v>0</v>
      </c>
      <c r="AL538" s="10">
        <f t="shared" si="41"/>
        <v>26.903400397338164</v>
      </c>
      <c r="AM538" s="6"/>
    </row>
    <row r="539" spans="1:39" ht="31.5" customHeight="1">
      <c r="A539" s="5" t="s">
        <v>38</v>
      </c>
      <c r="B539" s="5" t="s">
        <v>1016</v>
      </c>
      <c r="C539" s="18" t="s">
        <v>1015</v>
      </c>
      <c r="D539" s="26" t="s">
        <v>1019</v>
      </c>
      <c r="E539" s="27">
        <v>8</v>
      </c>
      <c r="F539" s="26"/>
      <c r="G539" s="28"/>
      <c r="H539" s="64" t="s">
        <v>26</v>
      </c>
      <c r="I539" s="57" t="s">
        <v>15</v>
      </c>
      <c r="J539" s="51" t="s">
        <v>8</v>
      </c>
      <c r="K539" s="57" t="s">
        <v>15</v>
      </c>
      <c r="L539" s="51" t="s">
        <v>1000</v>
      </c>
      <c r="M539" s="75" t="s">
        <v>1165</v>
      </c>
      <c r="N539" s="75" t="s">
        <v>248</v>
      </c>
      <c r="O539" s="104">
        <v>27.9</v>
      </c>
      <c r="P539" s="29"/>
      <c r="Q539" s="251">
        <v>0.5</v>
      </c>
      <c r="R539" s="104">
        <v>2.9</v>
      </c>
      <c r="S539" s="104">
        <v>24.5</v>
      </c>
      <c r="T539" s="104"/>
      <c r="U539" s="104"/>
      <c r="V539" s="104"/>
      <c r="W539" s="119"/>
      <c r="X539" s="120" t="s">
        <v>12</v>
      </c>
      <c r="Y539" s="88"/>
      <c r="Z539" s="306" t="s">
        <v>1078</v>
      </c>
      <c r="AA539" s="17" t="s">
        <v>1079</v>
      </c>
      <c r="AB539" s="26"/>
      <c r="AC539" s="117"/>
      <c r="AD53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0.5</v>
      </c>
      <c r="AE53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2.8347996089931575</v>
      </c>
      <c r="AF53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23.502619342943508</v>
      </c>
      <c r="AG53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39"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39"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39" s="10">
        <f t="shared" si="40"/>
        <v>26.837418951936666</v>
      </c>
      <c r="AK539" s="10">
        <f t="shared" ref="AK539:AK585" si="43">+SUM(AH539:AI539)</f>
        <v>0</v>
      </c>
      <c r="AL539" s="10">
        <f t="shared" si="41"/>
        <v>26.337418951936666</v>
      </c>
      <c r="AM539" s="6"/>
    </row>
    <row r="540" spans="1:39" ht="31.5" customHeight="1">
      <c r="A540" s="5" t="s">
        <v>38</v>
      </c>
      <c r="B540" s="5" t="s">
        <v>1016</v>
      </c>
      <c r="C540" s="18" t="s">
        <v>1015</v>
      </c>
      <c r="D540" s="26" t="s">
        <v>1019</v>
      </c>
      <c r="E540" s="27">
        <v>4</v>
      </c>
      <c r="F540" s="26"/>
      <c r="G540" s="28"/>
      <c r="H540" s="64" t="s">
        <v>22</v>
      </c>
      <c r="I540" s="57" t="s">
        <v>15</v>
      </c>
      <c r="J540" s="51" t="s">
        <v>8</v>
      </c>
      <c r="K540" s="57" t="s">
        <v>15</v>
      </c>
      <c r="L540" s="51" t="s">
        <v>1000</v>
      </c>
      <c r="M540" s="75" t="s">
        <v>1165</v>
      </c>
      <c r="N540" s="75" t="s">
        <v>248</v>
      </c>
      <c r="O540" s="104">
        <v>37.4</v>
      </c>
      <c r="P540" s="29"/>
      <c r="Q540" s="251">
        <v>1.5</v>
      </c>
      <c r="R540" s="104">
        <v>16.600000000000001</v>
      </c>
      <c r="S540" s="104">
        <v>19.3</v>
      </c>
      <c r="T540" s="104"/>
      <c r="U540" s="104"/>
      <c r="V540" s="104"/>
      <c r="W540" s="119"/>
      <c r="X540" s="120" t="s">
        <v>12</v>
      </c>
      <c r="Y540" s="88"/>
      <c r="Z540" s="306" t="s">
        <v>1078</v>
      </c>
      <c r="AA540" s="17" t="s">
        <v>1079</v>
      </c>
      <c r="AB540" s="26" t="s">
        <v>1196</v>
      </c>
      <c r="AC540" s="117"/>
      <c r="AD54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1.5</v>
      </c>
      <c r="AE54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16.226783968719456</v>
      </c>
      <c r="AF54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18.514308298726927</v>
      </c>
      <c r="AG54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40"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40"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40" s="10">
        <f t="shared" si="40"/>
        <v>36.241092267446383</v>
      </c>
      <c r="AK540" s="10">
        <f t="shared" si="43"/>
        <v>0</v>
      </c>
      <c r="AL540" s="10">
        <f t="shared" si="41"/>
        <v>34.741092267446383</v>
      </c>
      <c r="AM540" s="6"/>
    </row>
    <row r="541" spans="1:39" ht="31.5" customHeight="1">
      <c r="A541" s="5" t="s">
        <v>38</v>
      </c>
      <c r="B541" s="5" t="s">
        <v>1016</v>
      </c>
      <c r="C541" s="18" t="s">
        <v>1015</v>
      </c>
      <c r="D541" s="26" t="s">
        <v>1019</v>
      </c>
      <c r="E541" s="27">
        <v>25</v>
      </c>
      <c r="F541" s="26"/>
      <c r="G541" s="28"/>
      <c r="H541" s="64" t="s">
        <v>21</v>
      </c>
      <c r="I541" s="57" t="s">
        <v>15</v>
      </c>
      <c r="J541" s="51" t="s">
        <v>8</v>
      </c>
      <c r="K541" s="57" t="s">
        <v>15</v>
      </c>
      <c r="L541" s="51" t="s">
        <v>1000</v>
      </c>
      <c r="M541" s="75" t="s">
        <v>1165</v>
      </c>
      <c r="N541" s="75" t="s">
        <v>248</v>
      </c>
      <c r="O541" s="104">
        <v>67.599999999999994</v>
      </c>
      <c r="P541" s="29"/>
      <c r="Q541" s="251">
        <v>2</v>
      </c>
      <c r="R541" s="104">
        <v>23.6</v>
      </c>
      <c r="S541" s="104">
        <v>42</v>
      </c>
      <c r="T541" s="104"/>
      <c r="U541" s="104"/>
      <c r="V541" s="104"/>
      <c r="W541" s="119"/>
      <c r="X541" s="120" t="s">
        <v>12</v>
      </c>
      <c r="Y541" s="88"/>
      <c r="Z541" s="306" t="s">
        <v>1078</v>
      </c>
      <c r="AA541" s="17" t="s">
        <v>1079</v>
      </c>
      <c r="AB541" s="26"/>
      <c r="AC541" s="117"/>
      <c r="AD54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2</v>
      </c>
      <c r="AE54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23.069403714565006</v>
      </c>
      <c r="AF54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40.290204587903155</v>
      </c>
      <c r="AG54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41"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41"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41" s="10">
        <f t="shared" si="40"/>
        <v>65.35960830246816</v>
      </c>
      <c r="AK541" s="10">
        <f t="shared" si="43"/>
        <v>0</v>
      </c>
      <c r="AL541" s="10">
        <f t="shared" si="41"/>
        <v>63.35960830246816</v>
      </c>
      <c r="AM541" s="6"/>
    </row>
    <row r="542" spans="1:39" ht="31.5" customHeight="1">
      <c r="A542" s="5" t="s">
        <v>38</v>
      </c>
      <c r="B542" s="5" t="s">
        <v>1016</v>
      </c>
      <c r="C542" s="18" t="s">
        <v>1015</v>
      </c>
      <c r="D542" s="26" t="s">
        <v>1019</v>
      </c>
      <c r="E542" s="27">
        <v>8</v>
      </c>
      <c r="F542" s="26"/>
      <c r="G542" s="28"/>
      <c r="H542" s="64" t="s">
        <v>25</v>
      </c>
      <c r="I542" s="57" t="s">
        <v>15</v>
      </c>
      <c r="J542" s="51" t="s">
        <v>8</v>
      </c>
      <c r="K542" s="57" t="s">
        <v>15</v>
      </c>
      <c r="L542" s="51" t="s">
        <v>1000</v>
      </c>
      <c r="M542" s="75" t="s">
        <v>1165</v>
      </c>
      <c r="N542" s="75" t="s">
        <v>248</v>
      </c>
      <c r="O542" s="104">
        <v>30.9</v>
      </c>
      <c r="P542" s="29"/>
      <c r="Q542" s="251">
        <v>0.7</v>
      </c>
      <c r="R542" s="104">
        <v>13</v>
      </c>
      <c r="S542" s="104">
        <v>17.2</v>
      </c>
      <c r="T542" s="104"/>
      <c r="U542" s="104"/>
      <c r="V542" s="104"/>
      <c r="W542" s="119"/>
      <c r="X542" s="120" t="s">
        <v>12</v>
      </c>
      <c r="Y542" s="88"/>
      <c r="Z542" s="306" t="s">
        <v>1078</v>
      </c>
      <c r="AA542" s="17" t="s">
        <v>1079</v>
      </c>
      <c r="AB542" s="26"/>
      <c r="AC542" s="117"/>
      <c r="AD54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0.7</v>
      </c>
      <c r="AE54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12.707722385141741</v>
      </c>
      <c r="AF54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16.499798069331771</v>
      </c>
      <c r="AG54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42"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42"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42" s="10">
        <f t="shared" si="40"/>
        <v>29.907520454473513</v>
      </c>
      <c r="AK542" s="10">
        <f t="shared" si="43"/>
        <v>0</v>
      </c>
      <c r="AL542" s="10">
        <f t="shared" si="41"/>
        <v>29.207520454473514</v>
      </c>
      <c r="AM542" s="6"/>
    </row>
    <row r="543" spans="1:39" ht="31.5" customHeight="1">
      <c r="A543" s="5" t="s">
        <v>38</v>
      </c>
      <c r="B543" s="5" t="s">
        <v>1016</v>
      </c>
      <c r="C543" s="18" t="s">
        <v>1015</v>
      </c>
      <c r="D543" s="26" t="s">
        <v>1019</v>
      </c>
      <c r="E543" s="27">
        <v>14</v>
      </c>
      <c r="F543" s="26"/>
      <c r="G543" s="28"/>
      <c r="H543" s="64" t="s">
        <v>16</v>
      </c>
      <c r="I543" s="57" t="s">
        <v>15</v>
      </c>
      <c r="J543" s="51" t="s">
        <v>8</v>
      </c>
      <c r="K543" s="57" t="s">
        <v>15</v>
      </c>
      <c r="L543" s="51" t="s">
        <v>1000</v>
      </c>
      <c r="M543" s="75" t="s">
        <v>1165</v>
      </c>
      <c r="N543" s="75" t="s">
        <v>248</v>
      </c>
      <c r="O543" s="104">
        <v>22.5</v>
      </c>
      <c r="P543" s="29"/>
      <c r="Q543" s="251">
        <v>0.4</v>
      </c>
      <c r="R543" s="104">
        <v>1.7</v>
      </c>
      <c r="S543" s="104">
        <v>20.399999999999999</v>
      </c>
      <c r="T543" s="104"/>
      <c r="U543" s="104"/>
      <c r="V543" s="104"/>
      <c r="W543" s="119"/>
      <c r="X543" s="120" t="s">
        <v>12</v>
      </c>
      <c r="Y543" s="88"/>
      <c r="Z543" s="306" t="s">
        <v>1078</v>
      </c>
      <c r="AA543" s="17" t="s">
        <v>1079</v>
      </c>
      <c r="AB543" s="26"/>
      <c r="AC543" s="117"/>
      <c r="AD54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0.4</v>
      </c>
      <c r="AE54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1.6617790811339199</v>
      </c>
      <c r="AF54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19.569527942695817</v>
      </c>
      <c r="AG54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43"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43"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43" s="10">
        <f t="shared" si="40"/>
        <v>21.631307023829738</v>
      </c>
      <c r="AK543" s="10">
        <f t="shared" si="43"/>
        <v>0</v>
      </c>
      <c r="AL543" s="10">
        <f t="shared" si="41"/>
        <v>21.231307023829739</v>
      </c>
      <c r="AM543" s="6"/>
    </row>
    <row r="544" spans="1:39" ht="31.5" customHeight="1">
      <c r="A544" s="5" t="s">
        <v>38</v>
      </c>
      <c r="B544" s="5" t="s">
        <v>1016</v>
      </c>
      <c r="C544" s="18" t="s">
        <v>1015</v>
      </c>
      <c r="D544" s="26" t="s">
        <v>1019</v>
      </c>
      <c r="E544" s="27">
        <v>17</v>
      </c>
      <c r="F544" s="26"/>
      <c r="G544" s="28"/>
      <c r="H544" s="64" t="s">
        <v>18</v>
      </c>
      <c r="I544" s="57" t="s">
        <v>15</v>
      </c>
      <c r="J544" s="51" t="s">
        <v>8</v>
      </c>
      <c r="K544" s="57" t="s">
        <v>15</v>
      </c>
      <c r="L544" s="51" t="s">
        <v>1000</v>
      </c>
      <c r="M544" s="75" t="s">
        <v>1165</v>
      </c>
      <c r="N544" s="75" t="s">
        <v>248</v>
      </c>
      <c r="O544" s="104">
        <v>53.9</v>
      </c>
      <c r="P544" s="29"/>
      <c r="Q544" s="251">
        <v>0.8</v>
      </c>
      <c r="R544" s="104">
        <v>16</v>
      </c>
      <c r="S544" s="104">
        <v>37.1</v>
      </c>
      <c r="T544" s="104"/>
      <c r="U544" s="104"/>
      <c r="V544" s="104"/>
      <c r="W544" s="119"/>
      <c r="X544" s="120" t="s">
        <v>12</v>
      </c>
      <c r="Y544" s="88"/>
      <c r="Z544" s="306" t="s">
        <v>1078</v>
      </c>
      <c r="AA544" s="17" t="s">
        <v>1079</v>
      </c>
      <c r="AB544" s="26"/>
      <c r="AC544" s="117"/>
      <c r="AD54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0.8</v>
      </c>
      <c r="AE54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15.640273704789834</v>
      </c>
      <c r="AF54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35.589680719314458</v>
      </c>
      <c r="AG54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44"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44"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44" s="10">
        <f t="shared" si="40"/>
        <v>52.02995442410429</v>
      </c>
      <c r="AK544" s="10">
        <f t="shared" si="43"/>
        <v>0</v>
      </c>
      <c r="AL544" s="10">
        <f t="shared" si="41"/>
        <v>51.229954424104292</v>
      </c>
      <c r="AM544" s="6"/>
    </row>
    <row r="545" spans="1:39" ht="31.5" customHeight="1">
      <c r="A545" s="5" t="s">
        <v>38</v>
      </c>
      <c r="B545" s="5" t="s">
        <v>1016</v>
      </c>
      <c r="C545" s="18" t="s">
        <v>1015</v>
      </c>
      <c r="D545" s="26" t="s">
        <v>1019</v>
      </c>
      <c r="E545" s="27">
        <v>14</v>
      </c>
      <c r="F545" s="26"/>
      <c r="G545" s="28"/>
      <c r="H545" s="64" t="s">
        <v>14</v>
      </c>
      <c r="I545" s="57" t="s">
        <v>15</v>
      </c>
      <c r="J545" s="51" t="s">
        <v>8</v>
      </c>
      <c r="K545" s="57" t="s">
        <v>15</v>
      </c>
      <c r="L545" s="51" t="s">
        <v>1000</v>
      </c>
      <c r="M545" s="75" t="s">
        <v>1165</v>
      </c>
      <c r="N545" s="75" t="s">
        <v>248</v>
      </c>
      <c r="O545" s="104">
        <v>19.2</v>
      </c>
      <c r="P545" s="29"/>
      <c r="Q545" s="251">
        <v>0.2</v>
      </c>
      <c r="R545" s="104">
        <v>5.9</v>
      </c>
      <c r="S545" s="104">
        <v>13.1</v>
      </c>
      <c r="T545" s="104"/>
      <c r="U545" s="104"/>
      <c r="V545" s="104"/>
      <c r="W545" s="119"/>
      <c r="X545" s="120" t="s">
        <v>12</v>
      </c>
      <c r="Y545" s="88"/>
      <c r="Z545" s="306" t="s">
        <v>1078</v>
      </c>
      <c r="AA545" s="17" t="s">
        <v>1079</v>
      </c>
      <c r="AB545" s="26"/>
      <c r="AC545" s="117"/>
      <c r="AD54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0.2</v>
      </c>
      <c r="AE54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5.7673509286412514</v>
      </c>
      <c r="AF54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12.566706669084081</v>
      </c>
      <c r="AG54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45"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45"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45" s="10">
        <f t="shared" si="40"/>
        <v>18.534057597725333</v>
      </c>
      <c r="AK545" s="10">
        <f t="shared" si="43"/>
        <v>0</v>
      </c>
      <c r="AL545" s="10">
        <f t="shared" si="41"/>
        <v>18.334057597725334</v>
      </c>
      <c r="AM545" s="6"/>
    </row>
    <row r="546" spans="1:39" ht="31.5" customHeight="1">
      <c r="A546" s="25" t="s">
        <v>38</v>
      </c>
      <c r="B546" s="5" t="s">
        <v>1016</v>
      </c>
      <c r="C546" s="18" t="s">
        <v>1015</v>
      </c>
      <c r="D546" s="26" t="s">
        <v>1167</v>
      </c>
      <c r="E546" s="27"/>
      <c r="F546" s="26"/>
      <c r="G546" s="28"/>
      <c r="H546" s="167" t="s">
        <v>6</v>
      </c>
      <c r="I546" s="57" t="s">
        <v>15</v>
      </c>
      <c r="J546" s="51" t="s">
        <v>8</v>
      </c>
      <c r="K546" s="57" t="s">
        <v>15</v>
      </c>
      <c r="L546" s="51" t="s">
        <v>444</v>
      </c>
      <c r="M546" s="169" t="s">
        <v>248</v>
      </c>
      <c r="N546" s="169" t="s">
        <v>247</v>
      </c>
      <c r="O546" s="171">
        <v>228.3</v>
      </c>
      <c r="P546" s="170"/>
      <c r="Q546" s="252"/>
      <c r="R546" s="171"/>
      <c r="S546" s="171">
        <v>28.3</v>
      </c>
      <c r="T546" s="171">
        <v>200</v>
      </c>
      <c r="U546" s="171"/>
      <c r="V546" s="171"/>
      <c r="W546" s="119"/>
      <c r="X546" s="120" t="s">
        <v>12</v>
      </c>
      <c r="Y546" s="173"/>
      <c r="Z546" s="306" t="s">
        <v>1078</v>
      </c>
      <c r="AA546" s="17" t="s">
        <v>1079</v>
      </c>
      <c r="AB546" s="26"/>
      <c r="AC546" s="117"/>
      <c r="AD54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4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54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27.147923567563318</v>
      </c>
      <c r="AG54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188.46573387549421</v>
      </c>
      <c r="AH546"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46"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46" s="10">
        <f t="shared" si="40"/>
        <v>215.61365744305752</v>
      </c>
      <c r="AK546" s="10">
        <f t="shared" ref="AK546" si="44">+SUM(AH546:AI546)</f>
        <v>0</v>
      </c>
      <c r="AL546" s="10">
        <f t="shared" si="41"/>
        <v>215.61365744305752</v>
      </c>
      <c r="AM546" s="6"/>
    </row>
    <row r="547" spans="1:39" ht="31.5" customHeight="1">
      <c r="A547" s="25" t="s">
        <v>38</v>
      </c>
      <c r="B547" s="25" t="s">
        <v>118</v>
      </c>
      <c r="C547" s="18" t="s">
        <v>119</v>
      </c>
      <c r="D547" s="26" t="s">
        <v>120</v>
      </c>
      <c r="E547" s="27"/>
      <c r="F547" s="26"/>
      <c r="G547" s="28" t="s">
        <v>121</v>
      </c>
      <c r="H547" s="64" t="s">
        <v>39</v>
      </c>
      <c r="I547" s="66" t="s">
        <v>15</v>
      </c>
      <c r="J547" s="51" t="s">
        <v>8</v>
      </c>
      <c r="K547" s="109" t="s">
        <v>15</v>
      </c>
      <c r="L547" s="51" t="s">
        <v>1000</v>
      </c>
      <c r="M547" s="75">
        <v>2011</v>
      </c>
      <c r="N547" s="75">
        <v>2015</v>
      </c>
      <c r="O547" s="104">
        <v>1561.3</v>
      </c>
      <c r="P547" s="29"/>
      <c r="Q547" s="251">
        <v>393.8</v>
      </c>
      <c r="R547" s="104">
        <v>386.3</v>
      </c>
      <c r="S547" s="104">
        <v>383.8</v>
      </c>
      <c r="T547" s="104"/>
      <c r="U547" s="104"/>
      <c r="V547" s="104"/>
      <c r="W547" s="119" t="s">
        <v>13</v>
      </c>
      <c r="X547" s="120" t="s">
        <v>12</v>
      </c>
      <c r="Y547" s="88"/>
      <c r="Z547" s="306" t="s">
        <v>1080</v>
      </c>
      <c r="AA547" s="17" t="s">
        <v>122</v>
      </c>
      <c r="AB547" s="26" t="s">
        <v>123</v>
      </c>
      <c r="AC547" s="117"/>
      <c r="AD54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393.8</v>
      </c>
      <c r="AE54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377.61485826001956</v>
      </c>
      <c r="AF54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368.17572668660074</v>
      </c>
      <c r="AG54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47"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47"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47" s="10">
        <f t="shared" si="40"/>
        <v>1139.5905849466203</v>
      </c>
      <c r="AK547" s="10">
        <f t="shared" si="43"/>
        <v>0</v>
      </c>
      <c r="AL547" s="10">
        <f t="shared" si="41"/>
        <v>745.79058494662036</v>
      </c>
      <c r="AM547" s="6"/>
    </row>
    <row r="548" spans="1:39" ht="31.5" customHeight="1">
      <c r="A548" s="25" t="s">
        <v>38</v>
      </c>
      <c r="B548" s="25" t="s">
        <v>118</v>
      </c>
      <c r="C548" s="18" t="s">
        <v>119</v>
      </c>
      <c r="D548" s="26"/>
      <c r="E548" s="27"/>
      <c r="F548" s="26" t="s">
        <v>332</v>
      </c>
      <c r="G548" s="28" t="s">
        <v>333</v>
      </c>
      <c r="H548" s="64" t="s">
        <v>25</v>
      </c>
      <c r="I548" s="66" t="s">
        <v>15</v>
      </c>
      <c r="J548" s="51" t="s">
        <v>8</v>
      </c>
      <c r="K548" s="109" t="s">
        <v>15</v>
      </c>
      <c r="L548" s="51" t="s">
        <v>1054</v>
      </c>
      <c r="M548" s="86">
        <v>2013</v>
      </c>
      <c r="N548" s="86">
        <v>2015</v>
      </c>
      <c r="O548" s="104">
        <v>10</v>
      </c>
      <c r="P548" s="29"/>
      <c r="Q548" s="251"/>
      <c r="R548" s="104">
        <v>5.3010000000000002</v>
      </c>
      <c r="S548" s="104">
        <v>4.6989999999999998</v>
      </c>
      <c r="T548" s="104"/>
      <c r="U548" s="104"/>
      <c r="V548" s="104"/>
      <c r="W548" s="119" t="s">
        <v>13</v>
      </c>
      <c r="X548" s="120" t="s">
        <v>12</v>
      </c>
      <c r="Y548" s="88"/>
      <c r="Z548" s="306" t="s">
        <v>1080</v>
      </c>
      <c r="AA548" s="17" t="s">
        <v>1143</v>
      </c>
      <c r="AB548" s="26"/>
      <c r="AC548" s="117"/>
      <c r="AD54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4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5.1818181818181825</v>
      </c>
      <c r="AF54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4.5077064609180217</v>
      </c>
      <c r="AG54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48"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48"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48" s="10">
        <f t="shared" si="40"/>
        <v>9.6895246427362043</v>
      </c>
      <c r="AK548" s="10">
        <f t="shared" si="43"/>
        <v>0</v>
      </c>
      <c r="AL548" s="10">
        <f t="shared" si="41"/>
        <v>9.6895246427362043</v>
      </c>
      <c r="AM548" s="6"/>
    </row>
    <row r="549" spans="1:39" ht="31.5" customHeight="1">
      <c r="A549" s="25" t="s">
        <v>38</v>
      </c>
      <c r="B549" s="25" t="s">
        <v>118</v>
      </c>
      <c r="C549" s="18" t="s">
        <v>119</v>
      </c>
      <c r="D549" s="26"/>
      <c r="E549" s="27"/>
      <c r="F549" s="26" t="s">
        <v>336</v>
      </c>
      <c r="G549" s="28" t="s">
        <v>337</v>
      </c>
      <c r="H549" s="64" t="s">
        <v>25</v>
      </c>
      <c r="I549" s="66" t="s">
        <v>15</v>
      </c>
      <c r="J549" s="51" t="s">
        <v>8</v>
      </c>
      <c r="K549" s="109" t="s">
        <v>15</v>
      </c>
      <c r="L549" s="51" t="s">
        <v>1054</v>
      </c>
      <c r="M549" s="86">
        <v>2013</v>
      </c>
      <c r="N549" s="86">
        <v>2015</v>
      </c>
      <c r="O549" s="104">
        <v>5.42</v>
      </c>
      <c r="P549" s="29"/>
      <c r="Q549" s="251">
        <v>1.2290000000000001</v>
      </c>
      <c r="R549" s="104">
        <v>0.68</v>
      </c>
      <c r="S549" s="104">
        <v>3.51</v>
      </c>
      <c r="T549" s="104"/>
      <c r="U549" s="104"/>
      <c r="V549" s="104"/>
      <c r="W549" s="119" t="s">
        <v>13</v>
      </c>
      <c r="X549" s="120" t="s">
        <v>12</v>
      </c>
      <c r="Y549" s="88"/>
      <c r="Z549" s="306" t="s">
        <v>1080</v>
      </c>
      <c r="AA549" s="17" t="s">
        <v>1143</v>
      </c>
      <c r="AB549" s="26"/>
      <c r="AC549" s="117"/>
      <c r="AD54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1.2290000000000001</v>
      </c>
      <c r="AE54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0.6647116324535679</v>
      </c>
      <c r="AF54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3.3671099548461925</v>
      </c>
      <c r="AG54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49"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49"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49" s="10">
        <f t="shared" si="40"/>
        <v>5.2608215872997608</v>
      </c>
      <c r="AK549" s="10">
        <f t="shared" si="43"/>
        <v>0</v>
      </c>
      <c r="AL549" s="10">
        <f t="shared" si="41"/>
        <v>4.0318215872997607</v>
      </c>
      <c r="AM549" s="6"/>
    </row>
    <row r="550" spans="1:39" ht="31.5" customHeight="1">
      <c r="A550" s="25" t="s">
        <v>38</v>
      </c>
      <c r="B550" s="25" t="s">
        <v>118</v>
      </c>
      <c r="C550" s="18" t="s">
        <v>119</v>
      </c>
      <c r="D550" s="26"/>
      <c r="E550" s="27"/>
      <c r="F550" s="26" t="s">
        <v>126</v>
      </c>
      <c r="G550" s="28" t="s">
        <v>127</v>
      </c>
      <c r="H550" s="64" t="s">
        <v>16</v>
      </c>
      <c r="I550" s="66" t="s">
        <v>15</v>
      </c>
      <c r="J550" s="51" t="s">
        <v>8</v>
      </c>
      <c r="K550" s="109" t="s">
        <v>15</v>
      </c>
      <c r="L550" s="51" t="s">
        <v>444</v>
      </c>
      <c r="M550" s="86">
        <v>2014</v>
      </c>
      <c r="N550" s="86">
        <v>2014</v>
      </c>
      <c r="O550" s="104">
        <v>4.68</v>
      </c>
      <c r="P550" s="29"/>
      <c r="Q550" s="251">
        <v>0.114</v>
      </c>
      <c r="R550" s="104">
        <v>0.35</v>
      </c>
      <c r="S550" s="104">
        <v>0.39</v>
      </c>
      <c r="T550" s="104">
        <v>3.6</v>
      </c>
      <c r="U550" s="104"/>
      <c r="V550" s="104"/>
      <c r="W550" s="119" t="s">
        <v>13</v>
      </c>
      <c r="X550" s="120" t="s">
        <v>12</v>
      </c>
      <c r="Y550" s="88"/>
      <c r="Z550" s="306" t="s">
        <v>1080</v>
      </c>
      <c r="AA550" s="17" t="s">
        <v>1143</v>
      </c>
      <c r="AB550" s="26"/>
      <c r="AC550" s="117"/>
      <c r="AD55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0.114</v>
      </c>
      <c r="AE55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0.34213098729227764</v>
      </c>
      <c r="AF55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0.37412332831624362</v>
      </c>
      <c r="AG55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3.3923832097588957</v>
      </c>
      <c r="AH550"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50"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50" s="10">
        <f t="shared" si="40"/>
        <v>4.2226375253674169</v>
      </c>
      <c r="AK550" s="10">
        <f t="shared" si="43"/>
        <v>0</v>
      </c>
      <c r="AL550" s="10">
        <f t="shared" si="41"/>
        <v>4.108637525367417</v>
      </c>
      <c r="AM550" s="6"/>
    </row>
    <row r="551" spans="1:39" ht="31.5" customHeight="1">
      <c r="A551" s="25" t="s">
        <v>38</v>
      </c>
      <c r="B551" s="25" t="s">
        <v>118</v>
      </c>
      <c r="C551" s="18" t="s">
        <v>119</v>
      </c>
      <c r="D551" s="26"/>
      <c r="E551" s="27"/>
      <c r="F551" s="26" t="s">
        <v>335</v>
      </c>
      <c r="G551" s="28" t="s">
        <v>333</v>
      </c>
      <c r="H551" s="64" t="s">
        <v>16</v>
      </c>
      <c r="I551" s="66" t="s">
        <v>15</v>
      </c>
      <c r="J551" s="51" t="s">
        <v>8</v>
      </c>
      <c r="K551" s="109" t="s">
        <v>15</v>
      </c>
      <c r="L551" s="51" t="s">
        <v>1054</v>
      </c>
      <c r="M551" s="86">
        <v>2013</v>
      </c>
      <c r="N551" s="86">
        <v>2015</v>
      </c>
      <c r="O551" s="104">
        <v>4.0999999999999996</v>
      </c>
      <c r="P551" s="29"/>
      <c r="Q551" s="251"/>
      <c r="R551" s="104">
        <v>0.26</v>
      </c>
      <c r="S551" s="104">
        <v>0.14000000000000001</v>
      </c>
      <c r="T551" s="104">
        <v>3.57</v>
      </c>
      <c r="U551" s="104"/>
      <c r="V551" s="104"/>
      <c r="W551" s="119" t="s">
        <v>13</v>
      </c>
      <c r="X551" s="120" t="s">
        <v>12</v>
      </c>
      <c r="Y551" s="88"/>
      <c r="Z551" s="306" t="s">
        <v>1080</v>
      </c>
      <c r="AA551" s="17" t="s">
        <v>1143</v>
      </c>
      <c r="AB551" s="26"/>
      <c r="AC551" s="117"/>
      <c r="AD55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5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0.2541544477028348</v>
      </c>
      <c r="AF55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0.1343006819596772</v>
      </c>
      <c r="AG55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3.3641133496775715</v>
      </c>
      <c r="AH551"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51"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51" s="10">
        <f t="shared" si="40"/>
        <v>3.7525684793400833</v>
      </c>
      <c r="AK551" s="10">
        <f t="shared" si="43"/>
        <v>0</v>
      </c>
      <c r="AL551" s="10">
        <f t="shared" si="41"/>
        <v>3.7525684793400833</v>
      </c>
      <c r="AM551" s="6"/>
    </row>
    <row r="552" spans="1:39" ht="31.5" customHeight="1">
      <c r="A552" s="25" t="s">
        <v>38</v>
      </c>
      <c r="B552" s="25" t="s">
        <v>118</v>
      </c>
      <c r="C552" s="18" t="s">
        <v>119</v>
      </c>
      <c r="D552" s="26"/>
      <c r="E552" s="27"/>
      <c r="F552" s="26" t="s">
        <v>334</v>
      </c>
      <c r="G552" s="28" t="s">
        <v>333</v>
      </c>
      <c r="H552" s="64" t="s">
        <v>18</v>
      </c>
      <c r="I552" s="66" t="s">
        <v>15</v>
      </c>
      <c r="J552" s="51" t="s">
        <v>8</v>
      </c>
      <c r="K552" s="109" t="s">
        <v>15</v>
      </c>
      <c r="L552" s="51" t="s">
        <v>1054</v>
      </c>
      <c r="M552" s="86">
        <v>2013</v>
      </c>
      <c r="N552" s="86">
        <v>2016</v>
      </c>
      <c r="O552" s="104">
        <v>9.39</v>
      </c>
      <c r="P552" s="29"/>
      <c r="Q552" s="251"/>
      <c r="R552" s="104">
        <v>0.34</v>
      </c>
      <c r="S552" s="104">
        <v>0.39</v>
      </c>
      <c r="T552" s="104">
        <v>8.66</v>
      </c>
      <c r="U552" s="104"/>
      <c r="V552" s="104"/>
      <c r="W552" s="119" t="s">
        <v>13</v>
      </c>
      <c r="X552" s="120" t="s">
        <v>12</v>
      </c>
      <c r="Y552" s="88"/>
      <c r="Z552" s="306" t="s">
        <v>1080</v>
      </c>
      <c r="AA552" s="17" t="s">
        <v>1143</v>
      </c>
      <c r="AB552" s="26"/>
      <c r="AC552" s="117"/>
      <c r="AD55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5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0.33235581622678395</v>
      </c>
      <c r="AF55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0.37412332831624362</v>
      </c>
      <c r="AG55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8.1605662768088987</v>
      </c>
      <c r="AH552"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52"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52" s="10">
        <f t="shared" si="40"/>
        <v>8.8670454213519267</v>
      </c>
      <c r="AK552" s="10">
        <f t="shared" si="43"/>
        <v>0</v>
      </c>
      <c r="AL552" s="10">
        <f t="shared" si="41"/>
        <v>8.8670454213519267</v>
      </c>
      <c r="AM552" s="6"/>
    </row>
    <row r="553" spans="1:39" ht="31.5" customHeight="1">
      <c r="A553" s="25" t="s">
        <v>38</v>
      </c>
      <c r="B553" s="25" t="s">
        <v>118</v>
      </c>
      <c r="C553" s="18" t="s">
        <v>119</v>
      </c>
      <c r="D553" s="26"/>
      <c r="E553" s="27"/>
      <c r="F553" s="26" t="s">
        <v>124</v>
      </c>
      <c r="G553" s="28" t="s">
        <v>125</v>
      </c>
      <c r="H553" s="64" t="s">
        <v>25</v>
      </c>
      <c r="I553" s="66" t="s">
        <v>15</v>
      </c>
      <c r="J553" s="51" t="s">
        <v>8</v>
      </c>
      <c r="K553" s="109" t="s">
        <v>15</v>
      </c>
      <c r="L553" s="51" t="s">
        <v>1054</v>
      </c>
      <c r="M553" s="86">
        <v>2011</v>
      </c>
      <c r="N553" s="86">
        <v>2013</v>
      </c>
      <c r="O553" s="104">
        <v>10</v>
      </c>
      <c r="P553" s="29"/>
      <c r="Q553" s="251">
        <v>9.6219999999999999</v>
      </c>
      <c r="R553" s="104"/>
      <c r="S553" s="104"/>
      <c r="T553" s="104"/>
      <c r="U553" s="104"/>
      <c r="V553" s="104"/>
      <c r="W553" s="119" t="s">
        <v>13</v>
      </c>
      <c r="X553" s="120" t="s">
        <v>12</v>
      </c>
      <c r="Y553" s="88"/>
      <c r="Z553" s="306" t="s">
        <v>1080</v>
      </c>
      <c r="AA553" s="17" t="s">
        <v>1143</v>
      </c>
      <c r="AB553" s="26"/>
      <c r="AC553" s="117"/>
      <c r="AD55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9.6219999999999999</v>
      </c>
      <c r="AE55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55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55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53"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53"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53" s="10">
        <f t="shared" si="40"/>
        <v>9.6219999999999999</v>
      </c>
      <c r="AK553" s="10">
        <f t="shared" si="43"/>
        <v>0</v>
      </c>
      <c r="AL553" s="10">
        <f t="shared" si="41"/>
        <v>0</v>
      </c>
      <c r="AM553" s="6"/>
    </row>
    <row r="554" spans="1:39" ht="31.5" customHeight="1">
      <c r="A554" s="25" t="s">
        <v>38</v>
      </c>
      <c r="B554" s="25" t="s">
        <v>118</v>
      </c>
      <c r="C554" s="18" t="s">
        <v>40</v>
      </c>
      <c r="D554" s="26" t="s">
        <v>359</v>
      </c>
      <c r="E554" s="57"/>
      <c r="F554" s="26"/>
      <c r="G554" s="28" t="s">
        <v>358</v>
      </c>
      <c r="H554" s="64" t="s">
        <v>39</v>
      </c>
      <c r="I554" s="66" t="s">
        <v>15</v>
      </c>
      <c r="J554" s="51" t="s">
        <v>8</v>
      </c>
      <c r="K554" s="109" t="s">
        <v>15</v>
      </c>
      <c r="L554" s="64" t="s">
        <v>444</v>
      </c>
      <c r="M554" s="75">
        <v>2015</v>
      </c>
      <c r="N554" s="56" t="s">
        <v>29</v>
      </c>
      <c r="O554" s="104">
        <v>4392.17</v>
      </c>
      <c r="P554" s="29"/>
      <c r="Q554" s="251"/>
      <c r="R554" s="104"/>
      <c r="S554" s="104"/>
      <c r="T554" s="104">
        <f>718-8.66-3.57-3.6</f>
        <v>702.17</v>
      </c>
      <c r="U554" s="104">
        <v>2940</v>
      </c>
      <c r="V554" s="104">
        <v>750</v>
      </c>
      <c r="W554" s="119" t="s">
        <v>13</v>
      </c>
      <c r="X554" s="120" t="s">
        <v>12</v>
      </c>
      <c r="Y554" s="88"/>
      <c r="Z554" s="292" t="s">
        <v>1080</v>
      </c>
      <c r="AA554" s="17" t="s">
        <v>1101</v>
      </c>
      <c r="AB554" s="26" t="s">
        <v>1144</v>
      </c>
      <c r="AC554" s="117"/>
      <c r="AD55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5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55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55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661.67492177677877</v>
      </c>
      <c r="AH554"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2724.1359763714504</v>
      </c>
      <c r="AI554"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643.90418319134358</v>
      </c>
      <c r="AJ554" s="10">
        <f t="shared" si="40"/>
        <v>661.67492177677877</v>
      </c>
      <c r="AK554" s="10">
        <f t="shared" si="43"/>
        <v>3368.0401595627941</v>
      </c>
      <c r="AL554" s="10">
        <f t="shared" si="41"/>
        <v>4029.7150813395729</v>
      </c>
      <c r="AM554" s="6"/>
    </row>
    <row r="555" spans="1:39" ht="31.5" customHeight="1">
      <c r="A555" s="5" t="s">
        <v>38</v>
      </c>
      <c r="B555" s="5" t="s">
        <v>1017</v>
      </c>
      <c r="C555" s="26" t="s">
        <v>1015</v>
      </c>
      <c r="D555" s="26" t="s">
        <v>1018</v>
      </c>
      <c r="E555" s="27">
        <v>2</v>
      </c>
      <c r="F555" s="26"/>
      <c r="G555" s="28"/>
      <c r="H555" s="64" t="s">
        <v>20</v>
      </c>
      <c r="I555" s="57" t="s">
        <v>15</v>
      </c>
      <c r="J555" s="51" t="s">
        <v>8</v>
      </c>
      <c r="K555" s="57" t="s">
        <v>15</v>
      </c>
      <c r="L555" s="64" t="s">
        <v>1000</v>
      </c>
      <c r="M555" s="75" t="s">
        <v>249</v>
      </c>
      <c r="N555" s="75" t="s">
        <v>247</v>
      </c>
      <c r="O555" s="104">
        <v>20.99</v>
      </c>
      <c r="P555" s="29">
        <f>4.54+9.69</f>
        <v>14.23</v>
      </c>
      <c r="Q555" s="263"/>
      <c r="R555" s="104">
        <v>6.6980000000000004</v>
      </c>
      <c r="S555" s="104">
        <v>14.295</v>
      </c>
      <c r="T555" s="104"/>
      <c r="U555" s="104"/>
      <c r="V555" s="104"/>
      <c r="W555" s="119" t="s">
        <v>13</v>
      </c>
      <c r="X555" s="120"/>
      <c r="Y555" s="88"/>
      <c r="Z555" s="306" t="s">
        <v>1081</v>
      </c>
      <c r="AA555" s="17" t="s">
        <v>74</v>
      </c>
      <c r="AB555" s="26" t="s">
        <v>1166</v>
      </c>
      <c r="AC555" s="117"/>
      <c r="AD55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5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6.6980000000000004</v>
      </c>
      <c r="AF55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14.295</v>
      </c>
      <c r="AG55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55"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55"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55" s="10">
        <f t="shared" si="40"/>
        <v>20.993000000000002</v>
      </c>
      <c r="AK555" s="10">
        <f t="shared" si="43"/>
        <v>0</v>
      </c>
      <c r="AL555" s="10">
        <f t="shared" si="41"/>
        <v>20.993000000000002</v>
      </c>
      <c r="AM555" s="6"/>
    </row>
    <row r="556" spans="1:39" ht="31.5" customHeight="1">
      <c r="A556" s="5" t="s">
        <v>38</v>
      </c>
      <c r="B556" s="5" t="s">
        <v>1017</v>
      </c>
      <c r="C556" s="26" t="s">
        <v>1015</v>
      </c>
      <c r="D556" s="26" t="s">
        <v>1018</v>
      </c>
      <c r="E556" s="27">
        <v>8</v>
      </c>
      <c r="F556" s="26"/>
      <c r="G556" s="28"/>
      <c r="H556" s="64" t="s">
        <v>26</v>
      </c>
      <c r="I556" s="57" t="s">
        <v>15</v>
      </c>
      <c r="J556" s="51" t="s">
        <v>8</v>
      </c>
      <c r="K556" s="57" t="s">
        <v>15</v>
      </c>
      <c r="L556" s="64" t="s">
        <v>1000</v>
      </c>
      <c r="M556" s="75" t="s">
        <v>249</v>
      </c>
      <c r="N556" s="75" t="s">
        <v>247</v>
      </c>
      <c r="O556" s="104">
        <v>87.79</v>
      </c>
      <c r="P556" s="29">
        <f>7.66+67.968</f>
        <v>75.628</v>
      </c>
      <c r="Q556" s="263"/>
      <c r="R556" s="104">
        <v>8.89</v>
      </c>
      <c r="S556" s="104">
        <v>78.900000000000006</v>
      </c>
      <c r="T556" s="104"/>
      <c r="U556" s="104"/>
      <c r="V556" s="104"/>
      <c r="W556" s="119" t="s">
        <v>13</v>
      </c>
      <c r="X556" s="120"/>
      <c r="Y556" s="88"/>
      <c r="Z556" s="306" t="s">
        <v>1081</v>
      </c>
      <c r="AA556" s="17" t="s">
        <v>74</v>
      </c>
      <c r="AB556" s="26" t="s">
        <v>1166</v>
      </c>
      <c r="AC556" s="117"/>
      <c r="AD55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5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8.89</v>
      </c>
      <c r="AF55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78.900000000000006</v>
      </c>
      <c r="AG55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56"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56"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56" s="10">
        <f t="shared" si="40"/>
        <v>87.79</v>
      </c>
      <c r="AK556" s="10">
        <f t="shared" si="43"/>
        <v>0</v>
      </c>
      <c r="AL556" s="10">
        <f t="shared" si="41"/>
        <v>87.79</v>
      </c>
      <c r="AM556" s="6"/>
    </row>
    <row r="557" spans="1:39" ht="31.5" customHeight="1">
      <c r="A557" s="5" t="s">
        <v>38</v>
      </c>
      <c r="B557" s="5" t="s">
        <v>1017</v>
      </c>
      <c r="C557" s="26" t="s">
        <v>1015</v>
      </c>
      <c r="D557" s="26" t="s">
        <v>1018</v>
      </c>
      <c r="E557" s="27"/>
      <c r="F557" s="26"/>
      <c r="G557" s="28"/>
      <c r="H557" s="64" t="s">
        <v>24</v>
      </c>
      <c r="I557" s="57" t="s">
        <v>15</v>
      </c>
      <c r="J557" s="51" t="s">
        <v>8</v>
      </c>
      <c r="K557" s="57" t="s">
        <v>15</v>
      </c>
      <c r="L557" s="64" t="s">
        <v>1000</v>
      </c>
      <c r="M557" s="75" t="s">
        <v>249</v>
      </c>
      <c r="N557" s="75" t="s">
        <v>247</v>
      </c>
      <c r="O557" s="171">
        <v>17.100000000000001</v>
      </c>
      <c r="P557" s="170">
        <f>1.21+4.439</f>
        <v>5.649</v>
      </c>
      <c r="Q557" s="252"/>
      <c r="R557" s="171">
        <v>3.6640000000000001</v>
      </c>
      <c r="S557" s="171">
        <v>13.435</v>
      </c>
      <c r="T557" s="171"/>
      <c r="U557" s="171"/>
      <c r="V557" s="171"/>
      <c r="W557" s="119" t="s">
        <v>13</v>
      </c>
      <c r="X557" s="172"/>
      <c r="Y557" s="173"/>
      <c r="Z557" s="307"/>
      <c r="AA557" s="17"/>
      <c r="AB557" s="26"/>
      <c r="AC557" s="117"/>
      <c r="AD55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5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3.6640000000000001</v>
      </c>
      <c r="AF55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13.435</v>
      </c>
      <c r="AG55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57"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57"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57" s="10">
        <f t="shared" si="40"/>
        <v>17.099</v>
      </c>
      <c r="AK557" s="10">
        <f t="shared" ref="AK557" si="45">+SUM(AH557:AI557)</f>
        <v>0</v>
      </c>
      <c r="AL557" s="10">
        <f t="shared" si="41"/>
        <v>17.099</v>
      </c>
      <c r="AM557" s="6"/>
    </row>
    <row r="558" spans="1:39" ht="31.5" customHeight="1">
      <c r="A558" s="5" t="s">
        <v>38</v>
      </c>
      <c r="B558" s="5" t="s">
        <v>1017</v>
      </c>
      <c r="C558" s="26" t="s">
        <v>1015</v>
      </c>
      <c r="D558" s="26" t="s">
        <v>1018</v>
      </c>
      <c r="E558" s="27">
        <v>7</v>
      </c>
      <c r="F558" s="26"/>
      <c r="G558" s="28"/>
      <c r="H558" s="64" t="s">
        <v>22</v>
      </c>
      <c r="I558" s="57" t="s">
        <v>15</v>
      </c>
      <c r="J558" s="51" t="s">
        <v>8</v>
      </c>
      <c r="K558" s="57" t="s">
        <v>15</v>
      </c>
      <c r="L558" s="64" t="s">
        <v>1000</v>
      </c>
      <c r="M558" s="75" t="s">
        <v>249</v>
      </c>
      <c r="N558" s="75" t="s">
        <v>247</v>
      </c>
      <c r="O558" s="104">
        <v>28.09</v>
      </c>
      <c r="P558" s="29">
        <f>5.56+20.927</f>
        <v>26.486999999999998</v>
      </c>
      <c r="Q558" s="263"/>
      <c r="R558" s="104">
        <v>5.8949999999999996</v>
      </c>
      <c r="S558" s="104">
        <v>22.19</v>
      </c>
      <c r="T558" s="104"/>
      <c r="U558" s="104"/>
      <c r="V558" s="104"/>
      <c r="W558" s="119" t="s">
        <v>13</v>
      </c>
      <c r="X558" s="120"/>
      <c r="Y558" s="88"/>
      <c r="Z558" s="306" t="s">
        <v>1081</v>
      </c>
      <c r="AA558" s="17" t="s">
        <v>74</v>
      </c>
      <c r="AB558" s="26" t="s">
        <v>1166</v>
      </c>
      <c r="AC558" s="117"/>
      <c r="AD55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5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5.8949999999999996</v>
      </c>
      <c r="AF55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22.19</v>
      </c>
      <c r="AG55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58"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58"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58" s="10">
        <f t="shared" si="40"/>
        <v>28.085000000000001</v>
      </c>
      <c r="AK558" s="10">
        <f t="shared" si="43"/>
        <v>0</v>
      </c>
      <c r="AL558" s="10">
        <f t="shared" si="41"/>
        <v>28.085000000000001</v>
      </c>
      <c r="AM558" s="6"/>
    </row>
    <row r="559" spans="1:39" ht="31.5" customHeight="1">
      <c r="A559" s="5" t="s">
        <v>38</v>
      </c>
      <c r="B559" s="5" t="s">
        <v>1017</v>
      </c>
      <c r="C559" s="26" t="s">
        <v>1015</v>
      </c>
      <c r="D559" s="26" t="s">
        <v>1018</v>
      </c>
      <c r="E559" s="27">
        <v>11</v>
      </c>
      <c r="F559" s="26"/>
      <c r="G559" s="28"/>
      <c r="H559" s="64" t="s">
        <v>21</v>
      </c>
      <c r="I559" s="57" t="s">
        <v>15</v>
      </c>
      <c r="J559" s="51" t="s">
        <v>8</v>
      </c>
      <c r="K559" s="57" t="s">
        <v>15</v>
      </c>
      <c r="L559" s="64" t="s">
        <v>1000</v>
      </c>
      <c r="M559" s="75" t="s">
        <v>249</v>
      </c>
      <c r="N559" s="75" t="s">
        <v>247</v>
      </c>
      <c r="O559" s="104">
        <v>32.299999999999997</v>
      </c>
      <c r="P559" s="29">
        <f>13.336+14.454</f>
        <v>27.79</v>
      </c>
      <c r="Q559" s="263"/>
      <c r="R559" s="104">
        <v>15.503</v>
      </c>
      <c r="S559" s="104">
        <v>16.8</v>
      </c>
      <c r="T559" s="104"/>
      <c r="U559" s="104"/>
      <c r="V559" s="104"/>
      <c r="W559" s="119" t="s">
        <v>13</v>
      </c>
      <c r="X559" s="120"/>
      <c r="Y559" s="88"/>
      <c r="Z559" s="306" t="s">
        <v>1081</v>
      </c>
      <c r="AA559" s="17" t="s">
        <v>74</v>
      </c>
      <c r="AB559" s="26" t="s">
        <v>1166</v>
      </c>
      <c r="AC559" s="117"/>
      <c r="AD55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5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15.503</v>
      </c>
      <c r="AF55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16.8</v>
      </c>
      <c r="AG55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59"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59"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59" s="10">
        <f t="shared" si="40"/>
        <v>32.302999999999997</v>
      </c>
      <c r="AK559" s="10">
        <f t="shared" si="43"/>
        <v>0</v>
      </c>
      <c r="AL559" s="10">
        <f t="shared" si="41"/>
        <v>32.302999999999997</v>
      </c>
      <c r="AM559" s="6"/>
    </row>
    <row r="560" spans="1:39" ht="31.5" customHeight="1">
      <c r="A560" s="5" t="s">
        <v>38</v>
      </c>
      <c r="B560" s="5" t="s">
        <v>1017</v>
      </c>
      <c r="C560" s="26" t="s">
        <v>1015</v>
      </c>
      <c r="D560" s="26" t="s">
        <v>1018</v>
      </c>
      <c r="E560" s="27">
        <v>17</v>
      </c>
      <c r="F560" s="26"/>
      <c r="G560" s="28"/>
      <c r="H560" s="64" t="s">
        <v>25</v>
      </c>
      <c r="I560" s="57" t="s">
        <v>15</v>
      </c>
      <c r="J560" s="51" t="s">
        <v>8</v>
      </c>
      <c r="K560" s="57" t="s">
        <v>15</v>
      </c>
      <c r="L560" s="64" t="s">
        <v>1000</v>
      </c>
      <c r="M560" s="75" t="s">
        <v>249</v>
      </c>
      <c r="N560" s="75" t="s">
        <v>247</v>
      </c>
      <c r="O560" s="104">
        <v>75.86</v>
      </c>
      <c r="P560" s="29">
        <f>17.471+45.569</f>
        <v>63.040000000000006</v>
      </c>
      <c r="Q560" s="263"/>
      <c r="R560" s="104">
        <v>21.024999999999999</v>
      </c>
      <c r="S560" s="104">
        <v>54.838000000000001</v>
      </c>
      <c r="T560" s="104"/>
      <c r="U560" s="104"/>
      <c r="V560" s="104"/>
      <c r="W560" s="119" t="s">
        <v>13</v>
      </c>
      <c r="X560" s="120"/>
      <c r="Y560" s="88"/>
      <c r="Z560" s="306" t="s">
        <v>1081</v>
      </c>
      <c r="AA560" s="17" t="s">
        <v>74</v>
      </c>
      <c r="AB560" s="26" t="s">
        <v>1166</v>
      </c>
      <c r="AC560" s="117"/>
      <c r="AD56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6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21.024999999999999</v>
      </c>
      <c r="AF56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54.838000000000001</v>
      </c>
      <c r="AG56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60"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60"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60" s="10">
        <f t="shared" si="40"/>
        <v>75.863</v>
      </c>
      <c r="AK560" s="10">
        <f t="shared" si="43"/>
        <v>0</v>
      </c>
      <c r="AL560" s="10">
        <f t="shared" si="41"/>
        <v>75.863</v>
      </c>
      <c r="AM560" s="6"/>
    </row>
    <row r="561" spans="1:39" ht="31.5" customHeight="1">
      <c r="A561" s="5" t="s">
        <v>38</v>
      </c>
      <c r="B561" s="5" t="s">
        <v>1017</v>
      </c>
      <c r="C561" s="26" t="s">
        <v>1015</v>
      </c>
      <c r="D561" s="26" t="s">
        <v>1018</v>
      </c>
      <c r="E561" s="27">
        <v>12</v>
      </c>
      <c r="F561" s="26"/>
      <c r="G561" s="28"/>
      <c r="H561" s="64" t="s">
        <v>16</v>
      </c>
      <c r="I561" s="57" t="s">
        <v>15</v>
      </c>
      <c r="J561" s="51" t="s">
        <v>8</v>
      </c>
      <c r="K561" s="57" t="s">
        <v>15</v>
      </c>
      <c r="L561" s="64" t="s">
        <v>1000</v>
      </c>
      <c r="M561" s="75" t="s">
        <v>249</v>
      </c>
      <c r="N561" s="75" t="s">
        <v>247</v>
      </c>
      <c r="O561" s="104">
        <v>42.96</v>
      </c>
      <c r="P561" s="29">
        <f>11.261+23.21</f>
        <v>34.471000000000004</v>
      </c>
      <c r="Q561" s="263"/>
      <c r="R561" s="104">
        <v>14.032999999999999</v>
      </c>
      <c r="S561" s="104">
        <v>28.925000000000001</v>
      </c>
      <c r="T561" s="104"/>
      <c r="U561" s="104"/>
      <c r="V561" s="104"/>
      <c r="W561" s="119" t="s">
        <v>13</v>
      </c>
      <c r="X561" s="120"/>
      <c r="Y561" s="88"/>
      <c r="Z561" s="306" t="s">
        <v>1081</v>
      </c>
      <c r="AA561" s="17" t="s">
        <v>74</v>
      </c>
      <c r="AB561" s="26" t="s">
        <v>1166</v>
      </c>
      <c r="AC561" s="117"/>
      <c r="AD56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6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14.032999999999999</v>
      </c>
      <c r="AF56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28.925000000000001</v>
      </c>
      <c r="AG56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61"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61"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61" s="10">
        <f t="shared" si="40"/>
        <v>42.957999999999998</v>
      </c>
      <c r="AK561" s="10">
        <f t="shared" si="43"/>
        <v>0</v>
      </c>
      <c r="AL561" s="10">
        <f t="shared" si="41"/>
        <v>42.957999999999998</v>
      </c>
      <c r="AM561" s="6"/>
    </row>
    <row r="562" spans="1:39" ht="31.5" customHeight="1">
      <c r="A562" s="5" t="s">
        <v>38</v>
      </c>
      <c r="B562" s="5" t="s">
        <v>1017</v>
      </c>
      <c r="C562" s="26" t="s">
        <v>1015</v>
      </c>
      <c r="D562" s="26" t="s">
        <v>1018</v>
      </c>
      <c r="E562" s="27">
        <v>10</v>
      </c>
      <c r="F562" s="26"/>
      <c r="G562" s="28"/>
      <c r="H562" s="64" t="s">
        <v>18</v>
      </c>
      <c r="I562" s="57" t="s">
        <v>15</v>
      </c>
      <c r="J562" s="51" t="s">
        <v>8</v>
      </c>
      <c r="K562" s="57" t="s">
        <v>15</v>
      </c>
      <c r="L562" s="64" t="s">
        <v>1000</v>
      </c>
      <c r="M562" s="75" t="s">
        <v>249</v>
      </c>
      <c r="N562" s="75" t="s">
        <v>247</v>
      </c>
      <c r="O562" s="104">
        <v>70.459999999999994</v>
      </c>
      <c r="P562" s="29">
        <f>24.235+40.873</f>
        <v>65.108000000000004</v>
      </c>
      <c r="Q562" s="263"/>
      <c r="R562" s="104">
        <v>26.228000000000002</v>
      </c>
      <c r="S562" s="104">
        <v>44.234999999999999</v>
      </c>
      <c r="T562" s="104"/>
      <c r="U562" s="104"/>
      <c r="V562" s="104"/>
      <c r="W562" s="119" t="s">
        <v>13</v>
      </c>
      <c r="X562" s="120"/>
      <c r="Y562" s="88"/>
      <c r="Z562" s="306" t="s">
        <v>1081</v>
      </c>
      <c r="AA562" s="17" t="s">
        <v>74</v>
      </c>
      <c r="AB562" s="26" t="s">
        <v>1166</v>
      </c>
      <c r="AC562" s="117"/>
      <c r="AD56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6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26.228000000000002</v>
      </c>
      <c r="AF56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44.234999999999999</v>
      </c>
      <c r="AG56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62"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62"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62" s="10">
        <f t="shared" si="40"/>
        <v>70.462999999999994</v>
      </c>
      <c r="AK562" s="10">
        <f t="shared" si="43"/>
        <v>0</v>
      </c>
      <c r="AL562" s="10">
        <f t="shared" si="41"/>
        <v>70.462999999999994</v>
      </c>
      <c r="AM562" s="6"/>
    </row>
    <row r="563" spans="1:39" ht="31.5" customHeight="1">
      <c r="A563" s="5" t="s">
        <v>38</v>
      </c>
      <c r="B563" s="5" t="s">
        <v>1017</v>
      </c>
      <c r="C563" s="26" t="s">
        <v>1015</v>
      </c>
      <c r="D563" s="26" t="s">
        <v>1018</v>
      </c>
      <c r="E563" s="27">
        <v>12</v>
      </c>
      <c r="F563" s="26"/>
      <c r="G563" s="28"/>
      <c r="H563" s="64" t="s">
        <v>14</v>
      </c>
      <c r="I563" s="57" t="s">
        <v>15</v>
      </c>
      <c r="J563" s="51" t="s">
        <v>8</v>
      </c>
      <c r="K563" s="57" t="s">
        <v>15</v>
      </c>
      <c r="L563" s="64" t="s">
        <v>1000</v>
      </c>
      <c r="M563" s="75" t="s">
        <v>249</v>
      </c>
      <c r="N563" s="75" t="s">
        <v>247</v>
      </c>
      <c r="O563" s="104">
        <v>41.73</v>
      </c>
      <c r="P563" s="29">
        <f>9.65+26.639</f>
        <v>36.289000000000001</v>
      </c>
      <c r="Q563" s="263"/>
      <c r="R563" s="104">
        <v>11.1</v>
      </c>
      <c r="S563" s="104">
        <v>30.632000000000001</v>
      </c>
      <c r="T563" s="104"/>
      <c r="U563" s="104"/>
      <c r="V563" s="104"/>
      <c r="W563" s="119" t="s">
        <v>13</v>
      </c>
      <c r="X563" s="120"/>
      <c r="Y563" s="88"/>
      <c r="Z563" s="306" t="s">
        <v>1081</v>
      </c>
      <c r="AA563" s="17" t="s">
        <v>74</v>
      </c>
      <c r="AB563" s="26" t="s">
        <v>1166</v>
      </c>
      <c r="AC563" s="117"/>
      <c r="AD56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6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11.1</v>
      </c>
      <c r="AF56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30.632000000000001</v>
      </c>
      <c r="AG56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63"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63"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63" s="10">
        <f t="shared" si="40"/>
        <v>41.731999999999999</v>
      </c>
      <c r="AK563" s="10">
        <f t="shared" si="43"/>
        <v>0</v>
      </c>
      <c r="AL563" s="10">
        <f t="shared" si="41"/>
        <v>41.731999999999999</v>
      </c>
      <c r="AM563" s="6"/>
    </row>
    <row r="564" spans="1:39" ht="31.5" customHeight="1">
      <c r="A564" s="5" t="s">
        <v>38</v>
      </c>
      <c r="B564" s="5" t="s">
        <v>1017</v>
      </c>
      <c r="C564" s="26" t="s">
        <v>1015</v>
      </c>
      <c r="D564" s="26" t="s">
        <v>1168</v>
      </c>
      <c r="E564" s="27"/>
      <c r="F564" s="26"/>
      <c r="G564" s="28"/>
      <c r="H564" s="64" t="s">
        <v>39</v>
      </c>
      <c r="I564" s="57" t="s">
        <v>15</v>
      </c>
      <c r="J564" s="51" t="s">
        <v>8</v>
      </c>
      <c r="K564" s="57" t="s">
        <v>15</v>
      </c>
      <c r="L564" s="64" t="s">
        <v>1000</v>
      </c>
      <c r="M564" s="169" t="s">
        <v>41</v>
      </c>
      <c r="N564" s="169" t="s">
        <v>248</v>
      </c>
      <c r="O564" s="171">
        <f>47.96+5.21</f>
        <v>53.17</v>
      </c>
      <c r="P564" s="170"/>
      <c r="Q564" s="252"/>
      <c r="R564" s="171">
        <v>47.963000000000001</v>
      </c>
      <c r="S564" s="171">
        <v>5.21</v>
      </c>
      <c r="T564" s="171"/>
      <c r="U564" s="171"/>
      <c r="V564" s="171"/>
      <c r="W564" s="119" t="s">
        <v>13</v>
      </c>
      <c r="X564" s="172"/>
      <c r="Y564" s="173"/>
      <c r="Z564" s="306" t="s">
        <v>1081</v>
      </c>
      <c r="AA564" s="17" t="s">
        <v>74</v>
      </c>
      <c r="AB564" s="26" t="s">
        <v>1169</v>
      </c>
      <c r="AC564" s="117"/>
      <c r="AD56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6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47.963000000000001</v>
      </c>
      <c r="AF56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5.21</v>
      </c>
      <c r="AG56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64"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64"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64" s="10">
        <f t="shared" si="40"/>
        <v>53.173000000000002</v>
      </c>
      <c r="AK564" s="10">
        <f t="shared" ref="AK564" si="46">+SUM(AH564:AI564)</f>
        <v>0</v>
      </c>
      <c r="AL564" s="10">
        <f t="shared" si="41"/>
        <v>53.173000000000002</v>
      </c>
      <c r="AM564" s="6"/>
    </row>
    <row r="565" spans="1:39" ht="31.5" customHeight="1">
      <c r="A565" s="5" t="s">
        <v>38</v>
      </c>
      <c r="B565" s="5" t="s">
        <v>165</v>
      </c>
      <c r="C565" s="5" t="s">
        <v>40</v>
      </c>
      <c r="D565" s="26"/>
      <c r="E565" s="57"/>
      <c r="F565" s="5" t="s">
        <v>82</v>
      </c>
      <c r="G565" s="5" t="s">
        <v>1106</v>
      </c>
      <c r="H565" s="64" t="s">
        <v>21</v>
      </c>
      <c r="I565" s="57" t="s">
        <v>15</v>
      </c>
      <c r="J565" s="51" t="s">
        <v>8</v>
      </c>
      <c r="K565" s="57" t="s">
        <v>282</v>
      </c>
      <c r="L565" s="64" t="s">
        <v>444</v>
      </c>
      <c r="M565" s="86">
        <v>2015</v>
      </c>
      <c r="N565" s="55">
        <v>2017</v>
      </c>
      <c r="O565" s="104">
        <v>230</v>
      </c>
      <c r="P565" s="29">
        <v>165</v>
      </c>
      <c r="Q565" s="251"/>
      <c r="R565" s="104"/>
      <c r="S565" s="104">
        <v>79.599999999999994</v>
      </c>
      <c r="T565" s="104">
        <v>51.7</v>
      </c>
      <c r="U565" s="104">
        <v>33.700000000000003</v>
      </c>
      <c r="V565" s="104"/>
      <c r="W565" s="57" t="s">
        <v>13</v>
      </c>
      <c r="X565" s="57" t="s">
        <v>12</v>
      </c>
      <c r="Y565" s="88"/>
      <c r="Z565" s="308" t="s">
        <v>1138</v>
      </c>
      <c r="AA565" s="17" t="s">
        <v>74</v>
      </c>
      <c r="AB565" s="5" t="s">
        <v>1215</v>
      </c>
      <c r="AC565" s="117" t="s">
        <v>10</v>
      </c>
      <c r="AD56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6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56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76.359530599930736</v>
      </c>
      <c r="AG56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48.718392206815253</v>
      </c>
      <c r="AH565"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31.225640273373433</v>
      </c>
      <c r="AI565"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65" s="10">
        <f t="shared" si="40"/>
        <v>125.07792280674599</v>
      </c>
      <c r="AK565" s="10">
        <f t="shared" si="43"/>
        <v>31.225640273373433</v>
      </c>
      <c r="AL565" s="10">
        <f t="shared" si="41"/>
        <v>156.30356308011943</v>
      </c>
      <c r="AM565" s="6"/>
    </row>
    <row r="566" spans="1:39" ht="31.5" customHeight="1">
      <c r="A566" s="5" t="s">
        <v>38</v>
      </c>
      <c r="B566" s="5" t="s">
        <v>165</v>
      </c>
      <c r="C566" s="5" t="s">
        <v>40</v>
      </c>
      <c r="D566" s="5" t="s">
        <v>1141</v>
      </c>
      <c r="E566" s="57"/>
      <c r="F566" s="5"/>
      <c r="G566" s="5" t="s">
        <v>81</v>
      </c>
      <c r="H566" s="64" t="s">
        <v>39</v>
      </c>
      <c r="I566" s="57" t="s">
        <v>15</v>
      </c>
      <c r="J566" s="51" t="s">
        <v>8</v>
      </c>
      <c r="K566" s="57" t="s">
        <v>15</v>
      </c>
      <c r="L566" s="64" t="s">
        <v>1000</v>
      </c>
      <c r="M566" s="75" t="s">
        <v>29</v>
      </c>
      <c r="N566" s="75" t="s">
        <v>29</v>
      </c>
      <c r="O566" s="104">
        <v>3042</v>
      </c>
      <c r="P566" s="29"/>
      <c r="Q566" s="251">
        <v>779</v>
      </c>
      <c r="R566" s="104">
        <f>750+140</f>
        <v>890</v>
      </c>
      <c r="S566" s="104">
        <f>707+75</f>
        <v>782</v>
      </c>
      <c r="T566" s="104"/>
      <c r="U566" s="104"/>
      <c r="V566" s="104"/>
      <c r="W566" s="57" t="s">
        <v>11</v>
      </c>
      <c r="X566" s="57" t="s">
        <v>12</v>
      </c>
      <c r="Y566" s="88"/>
      <c r="Z566" s="294" t="s">
        <v>1146</v>
      </c>
      <c r="AA566" s="5" t="s">
        <v>74</v>
      </c>
      <c r="AB566" s="5" t="s">
        <v>1142</v>
      </c>
      <c r="AC566" s="117"/>
      <c r="AD56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779</v>
      </c>
      <c r="AE56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869.99022482893452</v>
      </c>
      <c r="AF56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750.16523780333978</v>
      </c>
      <c r="AG56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66"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66"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66" s="10">
        <f t="shared" si="40"/>
        <v>2399.1554626322741</v>
      </c>
      <c r="AK566" s="10">
        <f t="shared" si="43"/>
        <v>0</v>
      </c>
      <c r="AL566" s="10">
        <f t="shared" si="41"/>
        <v>1620.1554626322741</v>
      </c>
      <c r="AM566" s="6"/>
    </row>
    <row r="567" spans="1:39" ht="31.5" customHeight="1">
      <c r="A567" s="25" t="s">
        <v>38</v>
      </c>
      <c r="B567" s="25" t="s">
        <v>165</v>
      </c>
      <c r="C567" s="18" t="s">
        <v>40</v>
      </c>
      <c r="D567" s="26" t="s">
        <v>356</v>
      </c>
      <c r="E567" s="57"/>
      <c r="F567" s="26"/>
      <c r="G567" s="28" t="s">
        <v>357</v>
      </c>
      <c r="H567" s="64" t="s">
        <v>39</v>
      </c>
      <c r="I567" s="66" t="s">
        <v>15</v>
      </c>
      <c r="J567" s="51" t="s">
        <v>8</v>
      </c>
      <c r="K567" s="109" t="s">
        <v>15</v>
      </c>
      <c r="L567" s="64" t="s">
        <v>444</v>
      </c>
      <c r="M567" s="75" t="s">
        <v>27</v>
      </c>
      <c r="N567" s="75" t="s">
        <v>27</v>
      </c>
      <c r="O567" s="104">
        <v>5856</v>
      </c>
      <c r="P567" s="29"/>
      <c r="Q567" s="251"/>
      <c r="R567" s="104"/>
      <c r="S567" s="104"/>
      <c r="T567" s="104">
        <v>976</v>
      </c>
      <c r="U567" s="104">
        <v>3904</v>
      </c>
      <c r="V567" s="104">
        <v>976</v>
      </c>
      <c r="W567" s="57" t="s">
        <v>11</v>
      </c>
      <c r="X567" s="120" t="s">
        <v>12</v>
      </c>
      <c r="Y567" s="88"/>
      <c r="Z567" s="294" t="s">
        <v>1146</v>
      </c>
      <c r="AA567" s="17" t="s">
        <v>1139</v>
      </c>
      <c r="AB567" s="26"/>
      <c r="AC567" s="117"/>
      <c r="AD56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6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56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56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919.71278131241172</v>
      </c>
      <c r="AH567"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3617.3560720252185</v>
      </c>
      <c r="AI567"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837.93397705966834</v>
      </c>
      <c r="AJ567" s="10">
        <f t="shared" si="40"/>
        <v>919.71278131241172</v>
      </c>
      <c r="AK567" s="10">
        <f t="shared" si="43"/>
        <v>4455.290049084887</v>
      </c>
      <c r="AL567" s="10">
        <f t="shared" si="41"/>
        <v>5375.0028303972986</v>
      </c>
      <c r="AM567" s="6"/>
    </row>
    <row r="568" spans="1:39" ht="31.5" customHeight="1">
      <c r="A568" s="5" t="s">
        <v>38</v>
      </c>
      <c r="B568" s="5" t="s">
        <v>165</v>
      </c>
      <c r="C568" s="5" t="s">
        <v>40</v>
      </c>
      <c r="D568" s="5" t="s">
        <v>78</v>
      </c>
      <c r="E568" s="57"/>
      <c r="F568" s="5"/>
      <c r="G568" s="5" t="s">
        <v>79</v>
      </c>
      <c r="H568" s="64" t="s">
        <v>39</v>
      </c>
      <c r="I568" s="57" t="s">
        <v>15</v>
      </c>
      <c r="J568" s="51" t="s">
        <v>8</v>
      </c>
      <c r="K568" s="57" t="s">
        <v>15</v>
      </c>
      <c r="L568" s="64" t="s">
        <v>1000</v>
      </c>
      <c r="M568" s="75" t="s">
        <v>29</v>
      </c>
      <c r="N568" s="75" t="s">
        <v>29</v>
      </c>
      <c r="O568" s="104">
        <v>4188</v>
      </c>
      <c r="P568" s="29"/>
      <c r="Q568" s="251">
        <v>320</v>
      </c>
      <c r="R568" s="104">
        <v>320</v>
      </c>
      <c r="S568" s="104">
        <v>450</v>
      </c>
      <c r="T568" s="104">
        <v>258</v>
      </c>
      <c r="U568" s="104">
        <v>1032</v>
      </c>
      <c r="V568" s="104">
        <v>258</v>
      </c>
      <c r="W568" s="57" t="s">
        <v>11</v>
      </c>
      <c r="X568" s="57" t="s">
        <v>12</v>
      </c>
      <c r="Y568" s="88"/>
      <c r="Z568" s="294" t="s">
        <v>1146</v>
      </c>
      <c r="AA568" s="5" t="s">
        <v>1102</v>
      </c>
      <c r="AB568" s="5" t="s">
        <v>1140</v>
      </c>
      <c r="AC568" s="117"/>
      <c r="AD56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320</v>
      </c>
      <c r="AE56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312.80547409579668</v>
      </c>
      <c r="AF56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431.68076344181952</v>
      </c>
      <c r="AG56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243.12079669938751</v>
      </c>
      <c r="AH568"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956.22732231814177</v>
      </c>
      <c r="AI568"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221.50303901782218</v>
      </c>
      <c r="AJ568" s="10">
        <f t="shared" si="40"/>
        <v>1307.6070342370035</v>
      </c>
      <c r="AK568" s="10">
        <f t="shared" si="43"/>
        <v>1177.7303613359641</v>
      </c>
      <c r="AL568" s="10">
        <f t="shared" si="41"/>
        <v>2165.3373955729676</v>
      </c>
      <c r="AM568" s="6"/>
    </row>
    <row r="569" spans="1:39" ht="31.5" customHeight="1">
      <c r="A569" s="25" t="s">
        <v>38</v>
      </c>
      <c r="B569" s="25" t="s">
        <v>165</v>
      </c>
      <c r="C569" s="18" t="s">
        <v>40</v>
      </c>
      <c r="D569" s="26" t="s">
        <v>1099</v>
      </c>
      <c r="E569" s="57"/>
      <c r="F569" s="26"/>
      <c r="G569" s="28" t="s">
        <v>354</v>
      </c>
      <c r="H569" s="64" t="s">
        <v>39</v>
      </c>
      <c r="I569" s="66" t="s">
        <v>15</v>
      </c>
      <c r="J569" s="51" t="s">
        <v>8</v>
      </c>
      <c r="K569" s="109" t="s">
        <v>15</v>
      </c>
      <c r="L569" s="64" t="s">
        <v>444</v>
      </c>
      <c r="M569" s="75" t="s">
        <v>29</v>
      </c>
      <c r="N569" s="75" t="s">
        <v>29</v>
      </c>
      <c r="O569" s="104">
        <f>6214</f>
        <v>6214</v>
      </c>
      <c r="P569" s="29"/>
      <c r="Q569" s="251"/>
      <c r="R569" s="104"/>
      <c r="S569" s="104"/>
      <c r="T569" s="104">
        <f>819+300-19-17.6-51.7</f>
        <v>1030.7</v>
      </c>
      <c r="U569" s="104">
        <f>4076-173.5-43.49-33.7</f>
        <v>3825.3100000000004</v>
      </c>
      <c r="V569" s="104">
        <v>1019</v>
      </c>
      <c r="W569" s="57" t="s">
        <v>11</v>
      </c>
      <c r="X569" s="120" t="s">
        <v>12</v>
      </c>
      <c r="Y569" s="88"/>
      <c r="Z569" s="309" t="s">
        <v>1145</v>
      </c>
      <c r="AA569" s="17" t="s">
        <v>355</v>
      </c>
      <c r="AB569" s="26" t="s">
        <v>1216</v>
      </c>
      <c r="AC569" s="117"/>
      <c r="AD56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6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56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56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971.25815952735934</v>
      </c>
      <c r="AH569"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3544.4437386984609</v>
      </c>
      <c r="AI569"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874.8511502293054</v>
      </c>
      <c r="AJ569" s="10">
        <f t="shared" si="40"/>
        <v>971.25815952735934</v>
      </c>
      <c r="AK569" s="10">
        <f t="shared" si="43"/>
        <v>4419.2948889277668</v>
      </c>
      <c r="AL569" s="10">
        <f t="shared" si="41"/>
        <v>5390.5530484551264</v>
      </c>
      <c r="AM569" s="6"/>
    </row>
    <row r="570" spans="1:39" ht="31.5" customHeight="1">
      <c r="A570" s="5" t="s">
        <v>38</v>
      </c>
      <c r="B570" s="5" t="s">
        <v>165</v>
      </c>
      <c r="C570" s="5" t="s">
        <v>40</v>
      </c>
      <c r="D570" s="5" t="s">
        <v>72</v>
      </c>
      <c r="E570" s="57"/>
      <c r="F570" s="5"/>
      <c r="G570" s="5" t="s">
        <v>73</v>
      </c>
      <c r="H570" s="64" t="s">
        <v>39</v>
      </c>
      <c r="I570" s="57" t="s">
        <v>15</v>
      </c>
      <c r="J570" s="51" t="s">
        <v>8</v>
      </c>
      <c r="K570" s="57" t="s">
        <v>15</v>
      </c>
      <c r="L570" s="64" t="s">
        <v>1000</v>
      </c>
      <c r="M570" s="75" t="s">
        <v>29</v>
      </c>
      <c r="N570" s="75" t="s">
        <v>29</v>
      </c>
      <c r="O570" s="104">
        <v>1007.4</v>
      </c>
      <c r="P570" s="29"/>
      <c r="Q570" s="251">
        <v>359</v>
      </c>
      <c r="R570" s="104">
        <f>328-4-44.25-26.17</f>
        <v>253.57999999999998</v>
      </c>
      <c r="S570" s="104">
        <f>368-20-36.9-16.15</f>
        <v>294.95000000000005</v>
      </c>
      <c r="T570" s="104"/>
      <c r="U570" s="104"/>
      <c r="V570" s="104"/>
      <c r="W570" s="57" t="s">
        <v>11</v>
      </c>
      <c r="X570" s="57" t="s">
        <v>12</v>
      </c>
      <c r="Y570" s="88"/>
      <c r="Z570" s="309" t="s">
        <v>1146</v>
      </c>
      <c r="AA570" s="5" t="s">
        <v>74</v>
      </c>
      <c r="AB570" s="5" t="s">
        <v>1214</v>
      </c>
      <c r="AC570" s="117"/>
      <c r="AD57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359</v>
      </c>
      <c r="AE57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247.87878787878788</v>
      </c>
      <c r="AF57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282.94275817147707</v>
      </c>
      <c r="AG57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70"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70"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70" s="10">
        <f t="shared" si="40"/>
        <v>889.82154605026494</v>
      </c>
      <c r="AK570" s="10">
        <f t="shared" si="43"/>
        <v>0</v>
      </c>
      <c r="AL570" s="10">
        <f t="shared" si="41"/>
        <v>530.82154605026494</v>
      </c>
      <c r="AM570" s="6"/>
    </row>
    <row r="571" spans="1:39" ht="31.5" customHeight="1">
      <c r="A571" s="5" t="s">
        <v>38</v>
      </c>
      <c r="B571" s="5" t="s">
        <v>165</v>
      </c>
      <c r="C571" s="5" t="s">
        <v>40</v>
      </c>
      <c r="D571" s="5"/>
      <c r="E571" s="57"/>
      <c r="F571" s="5" t="s">
        <v>1189</v>
      </c>
      <c r="G571" s="5"/>
      <c r="H571" s="64" t="s">
        <v>21</v>
      </c>
      <c r="I571" s="57" t="s">
        <v>15</v>
      </c>
      <c r="J571" s="51" t="s">
        <v>8</v>
      </c>
      <c r="K571" s="57" t="s">
        <v>15</v>
      </c>
      <c r="L571" s="168" t="s">
        <v>1054</v>
      </c>
      <c r="M571" s="169">
        <v>2008</v>
      </c>
      <c r="N571" s="169" t="s">
        <v>1230</v>
      </c>
      <c r="O571" s="104">
        <v>1500</v>
      </c>
      <c r="P571" s="170"/>
      <c r="Q571" s="252"/>
      <c r="R571" s="171"/>
      <c r="S571" s="171"/>
      <c r="T571" s="171"/>
      <c r="U571" s="171"/>
      <c r="V571" s="171"/>
      <c r="W571" s="119" t="s">
        <v>13</v>
      </c>
      <c r="X571" s="57" t="s">
        <v>12</v>
      </c>
      <c r="Y571" s="173"/>
      <c r="Z571" s="310" t="s">
        <v>1217</v>
      </c>
      <c r="AA571" s="128" t="s">
        <v>1217</v>
      </c>
      <c r="AB571" s="26"/>
      <c r="AC571" s="117" t="s">
        <v>10</v>
      </c>
      <c r="AD57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7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57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57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71"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71"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71" s="10">
        <f t="shared" si="40"/>
        <v>0</v>
      </c>
      <c r="AK571" s="10">
        <f t="shared" ref="AK571:AK578" si="47">+SUM(AH571:AI571)</f>
        <v>0</v>
      </c>
      <c r="AL571" s="10">
        <f t="shared" si="41"/>
        <v>0</v>
      </c>
      <c r="AM571" s="6"/>
    </row>
    <row r="572" spans="1:39" ht="31.5" customHeight="1">
      <c r="A572" s="5" t="s">
        <v>38</v>
      </c>
      <c r="B572" s="5" t="s">
        <v>165</v>
      </c>
      <c r="C572" s="5" t="s">
        <v>40</v>
      </c>
      <c r="D572" s="5"/>
      <c r="E572" s="57"/>
      <c r="F572" s="5" t="s">
        <v>1190</v>
      </c>
      <c r="G572" s="5"/>
      <c r="H572" s="247" t="s">
        <v>20</v>
      </c>
      <c r="I572" s="57" t="s">
        <v>15</v>
      </c>
      <c r="J572" s="51" t="s">
        <v>8</v>
      </c>
      <c r="K572" s="57" t="s">
        <v>15</v>
      </c>
      <c r="L572" s="168" t="s">
        <v>1054</v>
      </c>
      <c r="M572" s="169">
        <v>2012</v>
      </c>
      <c r="N572" s="169">
        <v>2014</v>
      </c>
      <c r="O572" s="171">
        <v>580</v>
      </c>
      <c r="P572" s="170">
        <v>580</v>
      </c>
      <c r="Q572" s="252">
        <v>237.9</v>
      </c>
      <c r="R572" s="171">
        <v>162.30000000000001</v>
      </c>
      <c r="S572" s="171">
        <v>49.5</v>
      </c>
      <c r="T572" s="171"/>
      <c r="U572" s="171"/>
      <c r="V572" s="171"/>
      <c r="W572" s="119" t="s">
        <v>13</v>
      </c>
      <c r="X572" s="57" t="s">
        <v>12</v>
      </c>
      <c r="Y572" s="173"/>
      <c r="Z572" s="310" t="s">
        <v>1218</v>
      </c>
      <c r="AA572" s="5" t="s">
        <v>1225</v>
      </c>
      <c r="AB572" s="26"/>
      <c r="AC572" s="117" t="s">
        <v>10</v>
      </c>
      <c r="AD57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237.9</v>
      </c>
      <c r="AE57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158.65102639296191</v>
      </c>
      <c r="AF57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47.484883978600152</v>
      </c>
      <c r="AG57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72"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72"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72" s="10">
        <f t="shared" si="40"/>
        <v>444.03591037156207</v>
      </c>
      <c r="AK572" s="10">
        <f t="shared" si="47"/>
        <v>0</v>
      </c>
      <c r="AL572" s="10">
        <f t="shared" si="41"/>
        <v>206.13591037156206</v>
      </c>
      <c r="AM572" s="6"/>
    </row>
    <row r="573" spans="1:39" s="250" customFormat="1" ht="31.5" customHeight="1">
      <c r="A573" s="5" t="s">
        <v>38</v>
      </c>
      <c r="B573" s="5" t="s">
        <v>165</v>
      </c>
      <c r="C573" s="5" t="s">
        <v>40</v>
      </c>
      <c r="D573" s="243"/>
      <c r="E573" s="246"/>
      <c r="F573" s="243" t="s">
        <v>1192</v>
      </c>
      <c r="G573" s="246"/>
      <c r="H573" s="247" t="s">
        <v>14</v>
      </c>
      <c r="I573" s="57" t="s">
        <v>15</v>
      </c>
      <c r="J573" s="51" t="s">
        <v>8</v>
      </c>
      <c r="K573" s="57" t="s">
        <v>15</v>
      </c>
      <c r="L573" s="244" t="s">
        <v>444</v>
      </c>
      <c r="M573" s="290">
        <v>2017</v>
      </c>
      <c r="N573" s="290">
        <v>2020</v>
      </c>
      <c r="O573" s="104">
        <v>250</v>
      </c>
      <c r="Q573" s="275"/>
      <c r="R573" s="276"/>
      <c r="S573" s="276"/>
      <c r="T573" s="276"/>
      <c r="U573" s="29">
        <v>173.5</v>
      </c>
      <c r="V573" s="29"/>
      <c r="W573" s="119" t="s">
        <v>13</v>
      </c>
      <c r="X573" s="57" t="s">
        <v>12</v>
      </c>
      <c r="Y573" s="246"/>
      <c r="Z573" s="310" t="s">
        <v>1219</v>
      </c>
      <c r="AA573" s="5" t="s">
        <v>74</v>
      </c>
      <c r="AB573" s="179"/>
      <c r="AC573" s="117" t="s">
        <v>10</v>
      </c>
      <c r="AD57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7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57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57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73"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160.76108568042403</v>
      </c>
      <c r="AI573"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73" s="10">
        <f t="shared" si="40"/>
        <v>0</v>
      </c>
      <c r="AK573" s="10">
        <f t="shared" si="47"/>
        <v>160.76108568042403</v>
      </c>
      <c r="AL573" s="10">
        <f t="shared" si="41"/>
        <v>160.76108568042403</v>
      </c>
    </row>
    <row r="574" spans="1:39" s="250" customFormat="1" ht="31.5" customHeight="1">
      <c r="A574" s="5" t="s">
        <v>38</v>
      </c>
      <c r="B574" s="5" t="s">
        <v>165</v>
      </c>
      <c r="C574" s="5" t="s">
        <v>40</v>
      </c>
      <c r="D574" s="243"/>
      <c r="E574" s="246"/>
      <c r="F574" s="243" t="s">
        <v>1191</v>
      </c>
      <c r="G574" s="246"/>
      <c r="H574" s="247" t="s">
        <v>26</v>
      </c>
      <c r="I574" s="57" t="s">
        <v>15</v>
      </c>
      <c r="J574" s="51" t="s">
        <v>8</v>
      </c>
      <c r="K574" s="57" t="s">
        <v>15</v>
      </c>
      <c r="L574" s="244" t="s">
        <v>444</v>
      </c>
      <c r="M574" s="290">
        <v>2015</v>
      </c>
      <c r="N574" s="290">
        <v>2017</v>
      </c>
      <c r="O574" s="104">
        <v>111.1</v>
      </c>
      <c r="P574" s="29"/>
      <c r="Q574" s="264"/>
      <c r="R574" s="29">
        <v>4</v>
      </c>
      <c r="S574" s="29">
        <v>20</v>
      </c>
      <c r="T574" s="29">
        <v>19</v>
      </c>
      <c r="U574" s="29">
        <v>43.49</v>
      </c>
      <c r="V574" s="246"/>
      <c r="W574" s="119" t="s">
        <v>13</v>
      </c>
      <c r="X574" s="57" t="s">
        <v>12</v>
      </c>
      <c r="Y574" s="246"/>
      <c r="Z574" s="310" t="s">
        <v>1220</v>
      </c>
      <c r="AA574" s="5" t="s">
        <v>74</v>
      </c>
      <c r="AB574" s="179"/>
      <c r="AC574" s="117" t="s">
        <v>10</v>
      </c>
      <c r="AD57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7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3.9100684261974585</v>
      </c>
      <c r="AF57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19.185811708525314</v>
      </c>
      <c r="AG57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17.904244718171949</v>
      </c>
      <c r="AH574"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40.296827759317821</v>
      </c>
      <c r="AI574"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74" s="10">
        <f t="shared" si="40"/>
        <v>41.000124852894722</v>
      </c>
      <c r="AK574" s="10">
        <f t="shared" si="47"/>
        <v>40.296827759317821</v>
      </c>
      <c r="AL574" s="10">
        <f t="shared" si="41"/>
        <v>81.29695261221255</v>
      </c>
    </row>
    <row r="575" spans="1:39" s="250" customFormat="1" ht="31.5" customHeight="1">
      <c r="A575" s="5" t="s">
        <v>38</v>
      </c>
      <c r="B575" s="5" t="s">
        <v>165</v>
      </c>
      <c r="C575" s="5" t="s">
        <v>40</v>
      </c>
      <c r="D575" s="243"/>
      <c r="E575" s="246"/>
      <c r="F575" s="243" t="s">
        <v>1193</v>
      </c>
      <c r="G575" s="246"/>
      <c r="H575" s="247" t="s">
        <v>22</v>
      </c>
      <c r="I575" s="57" t="s">
        <v>15</v>
      </c>
      <c r="J575" s="51" t="s">
        <v>8</v>
      </c>
      <c r="K575" s="57" t="s">
        <v>15</v>
      </c>
      <c r="L575" s="244" t="s">
        <v>444</v>
      </c>
      <c r="M575" s="290" t="s">
        <v>27</v>
      </c>
      <c r="N575" s="290" t="s">
        <v>27</v>
      </c>
      <c r="O575" s="104">
        <v>117.6</v>
      </c>
      <c r="P575" s="29"/>
      <c r="Q575" s="264"/>
      <c r="R575" s="29"/>
      <c r="S575" s="29">
        <v>36.9</v>
      </c>
      <c r="T575" s="29">
        <v>17.600000000000001</v>
      </c>
      <c r="U575" s="29"/>
      <c r="V575" s="246"/>
      <c r="W575" s="119" t="s">
        <v>13</v>
      </c>
      <c r="X575" s="57" t="s">
        <v>12</v>
      </c>
      <c r="Y575" s="246"/>
      <c r="Z575" s="310" t="s">
        <v>1221</v>
      </c>
      <c r="AA575" s="5" t="s">
        <v>74</v>
      </c>
      <c r="AB575" s="179"/>
      <c r="AC575" s="117" t="s">
        <v>10</v>
      </c>
      <c r="AD57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7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57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35.397822602229205</v>
      </c>
      <c r="AG57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16.584984581043493</v>
      </c>
      <c r="AH575"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75"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75" s="10">
        <f t="shared" si="40"/>
        <v>51.982807183272698</v>
      </c>
      <c r="AK575" s="10">
        <f t="shared" si="47"/>
        <v>0</v>
      </c>
      <c r="AL575" s="10">
        <f t="shared" si="41"/>
        <v>51.982807183272698</v>
      </c>
    </row>
    <row r="576" spans="1:39" s="250" customFormat="1" ht="31.5" customHeight="1">
      <c r="A576" s="5" t="s">
        <v>38</v>
      </c>
      <c r="B576" s="5" t="s">
        <v>165</v>
      </c>
      <c r="C576" s="5" t="s">
        <v>40</v>
      </c>
      <c r="D576" s="243"/>
      <c r="E576" s="246"/>
      <c r="F576" s="243" t="s">
        <v>1194</v>
      </c>
      <c r="G576" s="246"/>
      <c r="H576" s="247" t="s">
        <v>16</v>
      </c>
      <c r="I576" s="57" t="s">
        <v>15</v>
      </c>
      <c r="J576" s="51" t="s">
        <v>8</v>
      </c>
      <c r="K576" s="57" t="s">
        <v>15</v>
      </c>
      <c r="L576" s="244" t="s">
        <v>1054</v>
      </c>
      <c r="M576" s="290">
        <v>2012</v>
      </c>
      <c r="N576" s="290">
        <v>2015</v>
      </c>
      <c r="O576" s="104">
        <v>107.8</v>
      </c>
      <c r="P576" s="29"/>
      <c r="Q576" s="264"/>
      <c r="R576" s="29">
        <v>44.246000000000002</v>
      </c>
      <c r="S576" s="29">
        <v>16.154</v>
      </c>
      <c r="T576" s="29"/>
      <c r="U576" s="29"/>
      <c r="V576" s="246"/>
      <c r="W576" s="119" t="s">
        <v>13</v>
      </c>
      <c r="X576" s="57" t="s">
        <v>12</v>
      </c>
      <c r="Y576" s="246"/>
      <c r="Z576" s="309" t="s">
        <v>1222</v>
      </c>
      <c r="AA576" s="5" t="s">
        <v>74</v>
      </c>
      <c r="AB576" s="179"/>
      <c r="AC576" s="117" t="s">
        <v>10</v>
      </c>
      <c r="AD57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7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43.251221896383193</v>
      </c>
      <c r="AF57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15.496380116975896</v>
      </c>
      <c r="AG57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76"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76"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76" s="10">
        <f t="shared" si="40"/>
        <v>58.747602013359085</v>
      </c>
      <c r="AK576" s="10">
        <f t="shared" si="47"/>
        <v>0</v>
      </c>
      <c r="AL576" s="10">
        <f t="shared" si="41"/>
        <v>58.747602013359085</v>
      </c>
    </row>
    <row r="577" spans="1:39" s="250" customFormat="1" ht="31.5" customHeight="1">
      <c r="A577" s="5" t="s">
        <v>38</v>
      </c>
      <c r="B577" s="5" t="s">
        <v>165</v>
      </c>
      <c r="C577" s="5" t="s">
        <v>40</v>
      </c>
      <c r="D577" s="243"/>
      <c r="E577" s="246"/>
      <c r="F577" s="243" t="s">
        <v>1195</v>
      </c>
      <c r="G577" s="246"/>
      <c r="H577" s="247" t="s">
        <v>18</v>
      </c>
      <c r="I577" s="57" t="s">
        <v>15</v>
      </c>
      <c r="J577" s="51" t="s">
        <v>8</v>
      </c>
      <c r="K577" s="57" t="s">
        <v>15</v>
      </c>
      <c r="L577" s="244" t="s">
        <v>1054</v>
      </c>
      <c r="M577" s="290">
        <v>2012</v>
      </c>
      <c r="N577" s="290">
        <v>2015</v>
      </c>
      <c r="O577" s="104">
        <v>128.6</v>
      </c>
      <c r="P577" s="29"/>
      <c r="Q577" s="264"/>
      <c r="R577" s="29">
        <v>26.167000000000002</v>
      </c>
      <c r="S577" s="29"/>
      <c r="T577" s="29"/>
      <c r="U577" s="29"/>
      <c r="V577" s="246"/>
      <c r="W577" s="119" t="s">
        <v>13</v>
      </c>
      <c r="X577" s="57" t="s">
        <v>12</v>
      </c>
      <c r="Y577" s="246"/>
      <c r="Z577" s="309" t="s">
        <v>1223</v>
      </c>
      <c r="AA577" s="5" t="s">
        <v>74</v>
      </c>
      <c r="AB577" s="179"/>
      <c r="AC577" s="117" t="s">
        <v>10</v>
      </c>
      <c r="AD57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7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25.578690127077227</v>
      </c>
      <c r="AF57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57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77"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77"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77" s="10">
        <f t="shared" si="40"/>
        <v>25.578690127077227</v>
      </c>
      <c r="AK577" s="10">
        <f t="shared" si="47"/>
        <v>0</v>
      </c>
      <c r="AL577" s="10">
        <f t="shared" si="41"/>
        <v>25.578690127077227</v>
      </c>
    </row>
    <row r="578" spans="1:39" s="250" customFormat="1" ht="31.5" customHeight="1">
      <c r="A578" s="5" t="s">
        <v>38</v>
      </c>
      <c r="B578" s="5" t="s">
        <v>165</v>
      </c>
      <c r="C578" s="5" t="s">
        <v>40</v>
      </c>
      <c r="D578" s="243"/>
      <c r="E578" s="246"/>
      <c r="F578" s="243" t="s">
        <v>1228</v>
      </c>
      <c r="G578" s="246"/>
      <c r="H578" s="247" t="s">
        <v>26</v>
      </c>
      <c r="I578" s="57" t="s">
        <v>15</v>
      </c>
      <c r="J578" s="51" t="s">
        <v>8</v>
      </c>
      <c r="K578" s="57" t="s">
        <v>15</v>
      </c>
      <c r="L578" s="244" t="s">
        <v>444</v>
      </c>
      <c r="M578" s="290">
        <v>2014</v>
      </c>
      <c r="N578" s="290">
        <v>2016</v>
      </c>
      <c r="O578" s="104">
        <v>115.9</v>
      </c>
      <c r="P578" s="246"/>
      <c r="Q578" s="275"/>
      <c r="R578" s="29">
        <v>14.65</v>
      </c>
      <c r="S578" s="29">
        <v>36.99</v>
      </c>
      <c r="T578" s="29">
        <v>24.6</v>
      </c>
      <c r="U578" s="29"/>
      <c r="V578" s="246"/>
      <c r="W578" s="119" t="s">
        <v>13</v>
      </c>
      <c r="X578" s="57" t="s">
        <v>12</v>
      </c>
      <c r="Y578" s="246"/>
      <c r="Z578" s="311" t="s">
        <v>1229</v>
      </c>
      <c r="AA578" s="5" t="s">
        <v>74</v>
      </c>
      <c r="AB578" s="246"/>
      <c r="AC578" s="117" t="s">
        <v>10</v>
      </c>
      <c r="AD57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7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14.320625610948191</v>
      </c>
      <c r="AF57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35.484158754917566</v>
      </c>
      <c r="AG57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23.181285266685787</v>
      </c>
      <c r="AH578"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78"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78" s="10">
        <f t="shared" ref="AJ578:AJ641" si="48">SUM(AD578:AG578)</f>
        <v>72.986069632551548</v>
      </c>
      <c r="AK578" s="10">
        <f t="shared" si="47"/>
        <v>0</v>
      </c>
      <c r="AL578" s="10">
        <f t="shared" ref="AL578:AL641" si="49">+AJ578+AK578-AD578</f>
        <v>72.986069632551548</v>
      </c>
    </row>
    <row r="579" spans="1:39" ht="31.5" customHeight="1">
      <c r="A579" s="5" t="s">
        <v>38</v>
      </c>
      <c r="B579" s="5" t="s">
        <v>165</v>
      </c>
      <c r="C579" s="5" t="s">
        <v>40</v>
      </c>
      <c r="D579" s="5" t="s">
        <v>75</v>
      </c>
      <c r="E579" s="57"/>
      <c r="F579" s="5"/>
      <c r="G579" s="5" t="s">
        <v>73</v>
      </c>
      <c r="H579" s="64" t="s">
        <v>39</v>
      </c>
      <c r="I579" s="57" t="s">
        <v>15</v>
      </c>
      <c r="J579" s="51" t="s">
        <v>8</v>
      </c>
      <c r="K579" s="57" t="s">
        <v>15</v>
      </c>
      <c r="L579" s="64" t="s">
        <v>1000</v>
      </c>
      <c r="M579" s="75" t="s">
        <v>29</v>
      </c>
      <c r="N579" s="75" t="s">
        <v>29</v>
      </c>
      <c r="O579" s="104"/>
      <c r="P579" s="29"/>
      <c r="Q579" s="251"/>
      <c r="R579" s="104"/>
      <c r="S579" s="104"/>
      <c r="T579" s="104"/>
      <c r="U579" s="104"/>
      <c r="V579" s="104"/>
      <c r="W579" s="57" t="s">
        <v>11</v>
      </c>
      <c r="X579" s="57" t="s">
        <v>12</v>
      </c>
      <c r="Y579" s="88"/>
      <c r="Z579" s="309" t="s">
        <v>1146</v>
      </c>
      <c r="AA579" s="5" t="s">
        <v>74</v>
      </c>
      <c r="AB579" s="26" t="s">
        <v>1336</v>
      </c>
      <c r="AC579" s="117"/>
      <c r="AD57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7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57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57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79"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79"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79" s="10">
        <f t="shared" si="48"/>
        <v>0</v>
      </c>
      <c r="AK579" s="10">
        <f t="shared" si="43"/>
        <v>0</v>
      </c>
      <c r="AL579" s="10">
        <f t="shared" si="49"/>
        <v>0</v>
      </c>
      <c r="AM579" s="6"/>
    </row>
    <row r="580" spans="1:39" ht="31.5" customHeight="1">
      <c r="A580" s="5" t="s">
        <v>38</v>
      </c>
      <c r="B580" s="5" t="s">
        <v>165</v>
      </c>
      <c r="C580" s="5" t="s">
        <v>40</v>
      </c>
      <c r="D580" s="5" t="s">
        <v>1100</v>
      </c>
      <c r="E580" s="57"/>
      <c r="F580" s="5"/>
      <c r="G580" s="5" t="s">
        <v>80</v>
      </c>
      <c r="H580" s="64" t="s">
        <v>39</v>
      </c>
      <c r="I580" s="57" t="s">
        <v>15</v>
      </c>
      <c r="J580" s="51" t="s">
        <v>8</v>
      </c>
      <c r="K580" s="57" t="s">
        <v>15</v>
      </c>
      <c r="L580" s="64" t="s">
        <v>1000</v>
      </c>
      <c r="M580" s="75">
        <v>2011</v>
      </c>
      <c r="N580" s="75" t="s">
        <v>29</v>
      </c>
      <c r="O580" s="104">
        <v>271.5</v>
      </c>
      <c r="P580" s="29"/>
      <c r="Q580" s="251">
        <v>101.2</v>
      </c>
      <c r="R580" s="104">
        <v>84.4</v>
      </c>
      <c r="S580" s="104">
        <v>52.9</v>
      </c>
      <c r="T580" s="104"/>
      <c r="U580" s="104"/>
      <c r="V580" s="104"/>
      <c r="W580" s="57" t="s">
        <v>11</v>
      </c>
      <c r="X580" s="57" t="s">
        <v>12</v>
      </c>
      <c r="Y580" s="88"/>
      <c r="Z580" s="310" t="s">
        <v>1146</v>
      </c>
      <c r="AA580" s="5" t="s">
        <v>74</v>
      </c>
      <c r="AB580" s="26"/>
      <c r="AC580" s="117"/>
      <c r="AD58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101.2</v>
      </c>
      <c r="AE58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82.502443792766371</v>
      </c>
      <c r="AF58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50.746471969049452</v>
      </c>
      <c r="AG58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80"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80"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80" s="10">
        <f t="shared" si="48"/>
        <v>234.44891576181581</v>
      </c>
      <c r="AK580" s="10">
        <f t="shared" si="43"/>
        <v>0</v>
      </c>
      <c r="AL580" s="10">
        <f t="shared" si="49"/>
        <v>133.24891576181579</v>
      </c>
      <c r="AM580" s="6"/>
    </row>
    <row r="581" spans="1:39" ht="31.5" customHeight="1">
      <c r="A581" s="5" t="s">
        <v>38</v>
      </c>
      <c r="B581" s="5" t="s">
        <v>165</v>
      </c>
      <c r="C581" s="5" t="s">
        <v>40</v>
      </c>
      <c r="D581" s="26"/>
      <c r="E581" s="57"/>
      <c r="F581" s="5" t="s">
        <v>76</v>
      </c>
      <c r="G581" s="5" t="s">
        <v>77</v>
      </c>
      <c r="H581" s="64" t="s">
        <v>21</v>
      </c>
      <c r="I581" s="57" t="s">
        <v>15</v>
      </c>
      <c r="J581" s="51" t="s">
        <v>8</v>
      </c>
      <c r="K581" s="57" t="s">
        <v>282</v>
      </c>
      <c r="L581" s="64" t="s">
        <v>1032</v>
      </c>
      <c r="M581" s="86">
        <v>2014</v>
      </c>
      <c r="N581" s="86">
        <v>2017</v>
      </c>
      <c r="O581" s="104">
        <v>589</v>
      </c>
      <c r="P581" s="29"/>
      <c r="Q581" s="251"/>
      <c r="R581" s="104">
        <v>180</v>
      </c>
      <c r="S581" s="104">
        <v>165</v>
      </c>
      <c r="T581" s="104">
        <v>150</v>
      </c>
      <c r="U581" s="104">
        <v>100</v>
      </c>
      <c r="V581" s="104"/>
      <c r="W581" s="57" t="s">
        <v>341</v>
      </c>
      <c r="X581" s="57" t="s">
        <v>12</v>
      </c>
      <c r="Y581" s="88"/>
      <c r="Z581" s="310" t="s">
        <v>1224</v>
      </c>
      <c r="AA581" s="5" t="s">
        <v>74</v>
      </c>
      <c r="AB581" s="26"/>
      <c r="AC581" s="117" t="s">
        <v>10</v>
      </c>
      <c r="AD58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8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175.95307917888564</v>
      </c>
      <c r="AF58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158.28294659533384</v>
      </c>
      <c r="AG58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141.34930040662064</v>
      </c>
      <c r="AH581"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92.657686271137777</v>
      </c>
      <c r="AI581"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81" s="10">
        <f t="shared" si="48"/>
        <v>475.58532618084007</v>
      </c>
      <c r="AK581" s="10">
        <f t="shared" si="43"/>
        <v>92.657686271137777</v>
      </c>
      <c r="AL581" s="10">
        <f t="shared" si="49"/>
        <v>568.24301245197785</v>
      </c>
      <c r="AM581" s="6"/>
    </row>
    <row r="582" spans="1:39" ht="31.5" customHeight="1">
      <c r="A582" s="16" t="s">
        <v>42</v>
      </c>
      <c r="B582" s="16" t="s">
        <v>128</v>
      </c>
      <c r="C582" s="16" t="s">
        <v>128</v>
      </c>
      <c r="D582" s="26"/>
      <c r="E582" s="8"/>
      <c r="F582" s="16" t="s">
        <v>151</v>
      </c>
      <c r="G582" s="16" t="s">
        <v>152</v>
      </c>
      <c r="H582" s="64" t="s">
        <v>56</v>
      </c>
      <c r="I582" s="57" t="s">
        <v>15</v>
      </c>
      <c r="J582" s="51" t="s">
        <v>8</v>
      </c>
      <c r="K582" s="8" t="s">
        <v>15</v>
      </c>
      <c r="L582" s="51" t="s">
        <v>1054</v>
      </c>
      <c r="M582" s="86">
        <v>2012</v>
      </c>
      <c r="N582" s="86">
        <v>2015</v>
      </c>
      <c r="O582" s="104">
        <v>87.4</v>
      </c>
      <c r="P582" s="29"/>
      <c r="Q582" s="264">
        <v>15.1</v>
      </c>
      <c r="R582" s="29">
        <v>49.6</v>
      </c>
      <c r="S582" s="29">
        <v>22.6</v>
      </c>
      <c r="T582" s="29">
        <v>0.1</v>
      </c>
      <c r="U582" s="29"/>
      <c r="V582" s="29"/>
      <c r="W582" s="57" t="s">
        <v>13</v>
      </c>
      <c r="X582" s="57" t="s">
        <v>12</v>
      </c>
      <c r="Y582" s="88"/>
      <c r="Z582" s="308" t="s">
        <v>1029</v>
      </c>
      <c r="AA582" s="5" t="s">
        <v>159</v>
      </c>
      <c r="AB582" s="277"/>
      <c r="AC582" s="117"/>
      <c r="AD58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15.1</v>
      </c>
      <c r="AE58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48.484848484848484</v>
      </c>
      <c r="AF58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21.679967230633604</v>
      </c>
      <c r="AG58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9.4232866937747101E-2</v>
      </c>
      <c r="AH582"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82"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82" s="32">
        <f t="shared" si="48"/>
        <v>85.359048582419831</v>
      </c>
      <c r="AK582" s="32">
        <f t="shared" si="43"/>
        <v>0</v>
      </c>
      <c r="AL582" s="32">
        <f t="shared" si="49"/>
        <v>70.259048582419837</v>
      </c>
      <c r="AM582" s="6"/>
    </row>
    <row r="583" spans="1:39" ht="31.5" customHeight="1">
      <c r="A583" s="16" t="s">
        <v>42</v>
      </c>
      <c r="B583" s="16" t="s">
        <v>128</v>
      </c>
      <c r="C583" s="16" t="s">
        <v>128</v>
      </c>
      <c r="D583" s="26"/>
      <c r="E583" s="8"/>
      <c r="F583" s="16" t="s">
        <v>132</v>
      </c>
      <c r="G583" s="16" t="s">
        <v>133</v>
      </c>
      <c r="H583" s="64" t="s">
        <v>16</v>
      </c>
      <c r="I583" s="57" t="s">
        <v>15</v>
      </c>
      <c r="J583" s="51" t="s">
        <v>8</v>
      </c>
      <c r="K583" s="8" t="s">
        <v>15</v>
      </c>
      <c r="L583" s="51" t="s">
        <v>1054</v>
      </c>
      <c r="M583" s="86">
        <v>2013</v>
      </c>
      <c r="N583" s="86">
        <v>2016</v>
      </c>
      <c r="O583" s="104">
        <v>176</v>
      </c>
      <c r="P583" s="29">
        <v>45</v>
      </c>
      <c r="Q583" s="251">
        <v>95</v>
      </c>
      <c r="R583" s="104">
        <v>10</v>
      </c>
      <c r="S583" s="104">
        <v>6</v>
      </c>
      <c r="T583" s="104"/>
      <c r="U583" s="104"/>
      <c r="V583" s="104"/>
      <c r="W583" s="57" t="s">
        <v>341</v>
      </c>
      <c r="X583" s="57" t="s">
        <v>278</v>
      </c>
      <c r="Y583" s="88"/>
      <c r="Z583" s="308" t="s">
        <v>1029</v>
      </c>
      <c r="AA583" s="5" t="s">
        <v>159</v>
      </c>
      <c r="AB583" s="277"/>
      <c r="AC583" s="117"/>
      <c r="AD58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95</v>
      </c>
      <c r="AE58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9.7751710654936463</v>
      </c>
      <c r="AF58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5.7557435125575935</v>
      </c>
      <c r="AG58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83"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83"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83" s="32">
        <f t="shared" si="48"/>
        <v>110.53091457805124</v>
      </c>
      <c r="AK583" s="32">
        <f t="shared" si="43"/>
        <v>0</v>
      </c>
      <c r="AL583" s="32">
        <f t="shared" si="49"/>
        <v>15.530914578051238</v>
      </c>
      <c r="AM583" s="6"/>
    </row>
    <row r="584" spans="1:39" ht="31.5" customHeight="1">
      <c r="A584" s="16" t="s">
        <v>42</v>
      </c>
      <c r="B584" s="16" t="s">
        <v>128</v>
      </c>
      <c r="C584" s="16" t="s">
        <v>128</v>
      </c>
      <c r="D584" s="26"/>
      <c r="E584" s="8"/>
      <c r="F584" s="16" t="s">
        <v>144</v>
      </c>
      <c r="G584" s="16" t="s">
        <v>145</v>
      </c>
      <c r="H584" s="64" t="s">
        <v>57</v>
      </c>
      <c r="I584" s="57" t="s">
        <v>15</v>
      </c>
      <c r="J584" s="51" t="s">
        <v>8</v>
      </c>
      <c r="K584" s="8" t="s">
        <v>15</v>
      </c>
      <c r="L584" s="51" t="s">
        <v>1054</v>
      </c>
      <c r="M584" s="86">
        <v>2013</v>
      </c>
      <c r="N584" s="86">
        <v>2015</v>
      </c>
      <c r="O584" s="104">
        <v>107.2</v>
      </c>
      <c r="P584" s="29">
        <v>100.9</v>
      </c>
      <c r="Q584" s="251">
        <v>18.3</v>
      </c>
      <c r="R584" s="104">
        <v>67.8</v>
      </c>
      <c r="S584" s="104">
        <v>15.9</v>
      </c>
      <c r="T584" s="104">
        <v>5.2</v>
      </c>
      <c r="U584" s="104"/>
      <c r="V584" s="104"/>
      <c r="W584" s="57" t="s">
        <v>341</v>
      </c>
      <c r="X584" s="57" t="s">
        <v>278</v>
      </c>
      <c r="Y584" s="88"/>
      <c r="Z584" s="308" t="s">
        <v>1029</v>
      </c>
      <c r="AA584" s="5" t="s">
        <v>159</v>
      </c>
      <c r="AB584" s="277"/>
      <c r="AC584" s="117"/>
      <c r="AD58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18.3</v>
      </c>
      <c r="AE58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66.275659824046926</v>
      </c>
      <c r="AF58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15.252720308277624</v>
      </c>
      <c r="AG58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4.9001090807628493</v>
      </c>
      <c r="AH584"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84"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84" s="32">
        <f t="shared" si="48"/>
        <v>104.7284892130874</v>
      </c>
      <c r="AK584" s="32">
        <f t="shared" si="43"/>
        <v>0</v>
      </c>
      <c r="AL584" s="32">
        <f t="shared" si="49"/>
        <v>86.428489213087403</v>
      </c>
      <c r="AM584" s="6"/>
    </row>
    <row r="585" spans="1:39" ht="31.5" customHeight="1">
      <c r="A585" s="16" t="s">
        <v>42</v>
      </c>
      <c r="B585" s="16" t="s">
        <v>128</v>
      </c>
      <c r="C585" s="16" t="s">
        <v>128</v>
      </c>
      <c r="D585" s="26"/>
      <c r="E585" s="8"/>
      <c r="F585" s="16" t="s">
        <v>136</v>
      </c>
      <c r="G585" s="16" t="s">
        <v>279</v>
      </c>
      <c r="H585" s="64" t="s">
        <v>21</v>
      </c>
      <c r="I585" s="57" t="s">
        <v>15</v>
      </c>
      <c r="J585" s="51" t="s">
        <v>8</v>
      </c>
      <c r="K585" s="8" t="s">
        <v>15</v>
      </c>
      <c r="L585" s="51" t="s">
        <v>1054</v>
      </c>
      <c r="M585" s="86">
        <v>2009</v>
      </c>
      <c r="N585" s="86">
        <v>2013</v>
      </c>
      <c r="O585" s="104">
        <v>637</v>
      </c>
      <c r="P585" s="29">
        <v>124.5</v>
      </c>
      <c r="Q585" s="251">
        <v>141.494</v>
      </c>
      <c r="R585" s="104"/>
      <c r="S585" s="104"/>
      <c r="T585" s="104"/>
      <c r="U585" s="104"/>
      <c r="V585" s="104"/>
      <c r="W585" s="57" t="s">
        <v>341</v>
      </c>
      <c r="X585" s="57" t="s">
        <v>278</v>
      </c>
      <c r="Y585" s="88"/>
      <c r="Z585" s="308" t="s">
        <v>1029</v>
      </c>
      <c r="AA585" s="5" t="s">
        <v>159</v>
      </c>
      <c r="AB585" s="277"/>
      <c r="AC585" s="117"/>
      <c r="AD58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141.494</v>
      </c>
      <c r="AE58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58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58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85"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85"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85" s="32">
        <f t="shared" si="48"/>
        <v>141.494</v>
      </c>
      <c r="AK585" s="32">
        <f t="shared" si="43"/>
        <v>0</v>
      </c>
      <c r="AL585" s="32">
        <f t="shared" si="49"/>
        <v>0</v>
      </c>
      <c r="AM585" s="6"/>
    </row>
    <row r="586" spans="1:39" ht="31.5" customHeight="1">
      <c r="A586" s="16" t="s">
        <v>42</v>
      </c>
      <c r="B586" s="16" t="s">
        <v>128</v>
      </c>
      <c r="C586" s="16" t="s">
        <v>128</v>
      </c>
      <c r="D586" s="26"/>
      <c r="E586" s="8"/>
      <c r="F586" s="16" t="s">
        <v>129</v>
      </c>
      <c r="G586" s="16" t="s">
        <v>130</v>
      </c>
      <c r="H586" s="64" t="s">
        <v>18</v>
      </c>
      <c r="I586" s="57" t="s">
        <v>15</v>
      </c>
      <c r="J586" s="51" t="s">
        <v>8</v>
      </c>
      <c r="K586" s="8" t="s">
        <v>15</v>
      </c>
      <c r="L586" s="51" t="s">
        <v>449</v>
      </c>
      <c r="M586" s="86">
        <v>2014</v>
      </c>
      <c r="N586" s="86">
        <v>2015</v>
      </c>
      <c r="O586" s="104">
        <v>183.3</v>
      </c>
      <c r="P586" s="29">
        <v>57.4</v>
      </c>
      <c r="Q586" s="251">
        <v>1.2</v>
      </c>
      <c r="R586" s="104">
        <v>39.6</v>
      </c>
      <c r="S586" s="104">
        <v>45.4</v>
      </c>
      <c r="T586" s="104">
        <v>58.8</v>
      </c>
      <c r="U586" s="104"/>
      <c r="V586" s="104"/>
      <c r="W586" s="57" t="s">
        <v>341</v>
      </c>
      <c r="X586" s="57" t="s">
        <v>278</v>
      </c>
      <c r="Y586" s="88"/>
      <c r="Z586" s="308" t="s">
        <v>1029</v>
      </c>
      <c r="AA586" s="5" t="s">
        <v>159</v>
      </c>
      <c r="AB586" s="277"/>
      <c r="AC586" s="117"/>
      <c r="AD58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1.2</v>
      </c>
      <c r="AE58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38.70967741935484</v>
      </c>
      <c r="AF58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43.551792578352462</v>
      </c>
      <c r="AG58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55.408925759395295</v>
      </c>
      <c r="AH586"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86"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86" s="32">
        <f t="shared" si="48"/>
        <v>138.87039575710259</v>
      </c>
      <c r="AK586" s="32">
        <f t="shared" ref="AK586:AK647" si="50">+SUM(AH586:AI586)</f>
        <v>0</v>
      </c>
      <c r="AL586" s="32">
        <f t="shared" si="49"/>
        <v>137.6703957571026</v>
      </c>
      <c r="AM586" s="6"/>
    </row>
    <row r="587" spans="1:39" ht="31.5" customHeight="1">
      <c r="A587" s="16" t="s">
        <v>42</v>
      </c>
      <c r="B587" s="16" t="s">
        <v>128</v>
      </c>
      <c r="C587" s="16" t="s">
        <v>128</v>
      </c>
      <c r="D587" s="26"/>
      <c r="E587" s="8"/>
      <c r="F587" s="16" t="s">
        <v>43</v>
      </c>
      <c r="G587" s="16" t="s">
        <v>146</v>
      </c>
      <c r="H587" s="64" t="s">
        <v>26</v>
      </c>
      <c r="I587" s="57" t="s">
        <v>15</v>
      </c>
      <c r="J587" s="51" t="s">
        <v>8</v>
      </c>
      <c r="K587" s="8" t="s">
        <v>15</v>
      </c>
      <c r="L587" s="51" t="s">
        <v>1032</v>
      </c>
      <c r="M587" s="86">
        <v>2014</v>
      </c>
      <c r="N587" s="86">
        <v>2017</v>
      </c>
      <c r="O587" s="104">
        <v>222.7</v>
      </c>
      <c r="P587" s="29">
        <v>115.3</v>
      </c>
      <c r="Q587" s="251"/>
      <c r="R587" s="104">
        <v>43.9</v>
      </c>
      <c r="S587" s="104">
        <v>62.6</v>
      </c>
      <c r="T587" s="104">
        <v>86.3</v>
      </c>
      <c r="U587" s="104">
        <v>29.9</v>
      </c>
      <c r="V587" s="104"/>
      <c r="W587" s="57" t="s">
        <v>341</v>
      </c>
      <c r="X587" s="57" t="s">
        <v>278</v>
      </c>
      <c r="Y587" s="88"/>
      <c r="Z587" s="308" t="s">
        <v>1029</v>
      </c>
      <c r="AA587" s="5" t="s">
        <v>159</v>
      </c>
      <c r="AB587" s="5" t="s">
        <v>1276</v>
      </c>
      <c r="AC587" s="117"/>
      <c r="AD58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8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42.913000977517108</v>
      </c>
      <c r="AF58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60.051590647684229</v>
      </c>
      <c r="AG58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81.322964167275742</v>
      </c>
      <c r="AH587"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27.704648195070195</v>
      </c>
      <c r="AI587"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87" s="32">
        <f t="shared" si="48"/>
        <v>184.28755579247706</v>
      </c>
      <c r="AK587" s="32">
        <f t="shared" si="50"/>
        <v>27.704648195070195</v>
      </c>
      <c r="AL587" s="32">
        <f t="shared" si="49"/>
        <v>211.99220398754727</v>
      </c>
      <c r="AM587" s="6"/>
    </row>
    <row r="588" spans="1:39" ht="31.5" customHeight="1">
      <c r="A588" s="16" t="s">
        <v>42</v>
      </c>
      <c r="B588" s="16" t="s">
        <v>128</v>
      </c>
      <c r="C588" s="16" t="s">
        <v>128</v>
      </c>
      <c r="D588" s="26"/>
      <c r="E588" s="8"/>
      <c r="F588" s="16" t="s">
        <v>44</v>
      </c>
      <c r="G588" s="16" t="s">
        <v>147</v>
      </c>
      <c r="H588" s="64" t="s">
        <v>56</v>
      </c>
      <c r="I588" s="57" t="s">
        <v>15</v>
      </c>
      <c r="J588" s="51" t="s">
        <v>8</v>
      </c>
      <c r="K588" s="8" t="s">
        <v>15</v>
      </c>
      <c r="L588" s="51" t="s">
        <v>1054</v>
      </c>
      <c r="M588" s="86">
        <v>2013</v>
      </c>
      <c r="N588" s="86">
        <v>2016</v>
      </c>
      <c r="O588" s="104">
        <v>158.33000000000001</v>
      </c>
      <c r="P588" s="29">
        <v>68.599999999999994</v>
      </c>
      <c r="Q588" s="251">
        <v>0.56499999999999995</v>
      </c>
      <c r="R588" s="104">
        <v>57.86</v>
      </c>
      <c r="S588" s="104">
        <v>53.8</v>
      </c>
      <c r="T588" s="104">
        <v>45.25</v>
      </c>
      <c r="U588" s="104"/>
      <c r="V588" s="104"/>
      <c r="W588" s="57" t="s">
        <v>341</v>
      </c>
      <c r="X588" s="57" t="s">
        <v>278</v>
      </c>
      <c r="Y588" s="88"/>
      <c r="Z588" s="308" t="s">
        <v>1029</v>
      </c>
      <c r="AA588" s="5" t="s">
        <v>159</v>
      </c>
      <c r="AB588" s="277"/>
      <c r="AC588" s="117"/>
      <c r="AD58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0.56499999999999995</v>
      </c>
      <c r="AE58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56.55913978494624</v>
      </c>
      <c r="AF58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51.609833495933096</v>
      </c>
      <c r="AG58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42.640372289330564</v>
      </c>
      <c r="AH588"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88"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88" s="32">
        <f t="shared" si="48"/>
        <v>151.3743455702099</v>
      </c>
      <c r="AK588" s="32">
        <f t="shared" si="50"/>
        <v>0</v>
      </c>
      <c r="AL588" s="32">
        <f t="shared" si="49"/>
        <v>150.8093455702099</v>
      </c>
      <c r="AM588" s="6"/>
    </row>
    <row r="589" spans="1:39" ht="31.5" customHeight="1">
      <c r="A589" s="16" t="s">
        <v>42</v>
      </c>
      <c r="B589" s="16" t="s">
        <v>128</v>
      </c>
      <c r="C589" s="16" t="s">
        <v>128</v>
      </c>
      <c r="D589" s="26"/>
      <c r="E589" s="8"/>
      <c r="F589" s="16" t="s">
        <v>134</v>
      </c>
      <c r="G589" s="16" t="s">
        <v>135</v>
      </c>
      <c r="H589" s="64" t="s">
        <v>18</v>
      </c>
      <c r="I589" s="57" t="s">
        <v>15</v>
      </c>
      <c r="J589" s="51" t="s">
        <v>8</v>
      </c>
      <c r="K589" s="8" t="s">
        <v>15</v>
      </c>
      <c r="L589" s="51" t="s">
        <v>1054</v>
      </c>
      <c r="M589" s="86">
        <v>2012</v>
      </c>
      <c r="N589" s="86">
        <v>2015</v>
      </c>
      <c r="O589" s="104">
        <v>141.83000000000001</v>
      </c>
      <c r="P589" s="29">
        <v>40.799999999999997</v>
      </c>
      <c r="Q589" s="251">
        <v>28.08</v>
      </c>
      <c r="R589" s="104">
        <v>24.52</v>
      </c>
      <c r="S589" s="104">
        <v>48.08</v>
      </c>
      <c r="T589" s="104"/>
      <c r="U589" s="104"/>
      <c r="V589" s="104"/>
      <c r="W589" s="57" t="s">
        <v>341</v>
      </c>
      <c r="X589" s="57" t="s">
        <v>278</v>
      </c>
      <c r="Y589" s="88"/>
      <c r="Z589" s="308" t="s">
        <v>1029</v>
      </c>
      <c r="AA589" s="5" t="s">
        <v>159</v>
      </c>
      <c r="AB589" s="277"/>
      <c r="AC589" s="117"/>
      <c r="AD58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28.08</v>
      </c>
      <c r="AE58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23.96871945259042</v>
      </c>
      <c r="AF58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46.122691347294854</v>
      </c>
      <c r="AG58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89"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89"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89" s="32">
        <f t="shared" si="48"/>
        <v>98.17141079988528</v>
      </c>
      <c r="AK589" s="32">
        <f t="shared" si="50"/>
        <v>0</v>
      </c>
      <c r="AL589" s="32">
        <f t="shared" si="49"/>
        <v>70.091410799885281</v>
      </c>
      <c r="AM589" s="6"/>
    </row>
    <row r="590" spans="1:39" ht="31.5" customHeight="1">
      <c r="A590" s="16" t="s">
        <v>42</v>
      </c>
      <c r="B590" s="16" t="s">
        <v>128</v>
      </c>
      <c r="C590" s="16" t="s">
        <v>128</v>
      </c>
      <c r="D590" s="26"/>
      <c r="E590" s="8"/>
      <c r="F590" s="16" t="s">
        <v>153</v>
      </c>
      <c r="G590" s="16" t="s">
        <v>154</v>
      </c>
      <c r="H590" s="64" t="s">
        <v>22</v>
      </c>
      <c r="I590" s="57" t="s">
        <v>15</v>
      </c>
      <c r="J590" s="51" t="s">
        <v>8</v>
      </c>
      <c r="K590" s="8" t="s">
        <v>15</v>
      </c>
      <c r="L590" s="51" t="s">
        <v>1054</v>
      </c>
      <c r="M590" s="86">
        <v>2011</v>
      </c>
      <c r="N590" s="86">
        <v>2014</v>
      </c>
      <c r="O590" s="104">
        <v>177</v>
      </c>
      <c r="P590" s="29">
        <v>73.5</v>
      </c>
      <c r="Q590" s="251">
        <v>82</v>
      </c>
      <c r="R590" s="104">
        <v>46</v>
      </c>
      <c r="S590" s="104"/>
      <c r="T590" s="104"/>
      <c r="U590" s="104"/>
      <c r="V590" s="104"/>
      <c r="W590" s="57" t="s">
        <v>341</v>
      </c>
      <c r="X590" s="57" t="s">
        <v>278</v>
      </c>
      <c r="Y590" s="88"/>
      <c r="Z590" s="308" t="s">
        <v>1029</v>
      </c>
      <c r="AA590" s="5" t="s">
        <v>159</v>
      </c>
      <c r="AB590" s="277"/>
      <c r="AC590" s="117"/>
      <c r="AD59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82</v>
      </c>
      <c r="AE59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44.965786901270775</v>
      </c>
      <c r="AF59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59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90"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90"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90" s="32">
        <f t="shared" si="48"/>
        <v>126.96578690127077</v>
      </c>
      <c r="AK590" s="32">
        <f t="shared" si="50"/>
        <v>0</v>
      </c>
      <c r="AL590" s="32">
        <f t="shared" si="49"/>
        <v>44.965786901270775</v>
      </c>
      <c r="AM590" s="6"/>
    </row>
    <row r="591" spans="1:39" ht="31.5" customHeight="1">
      <c r="A591" s="16" t="s">
        <v>42</v>
      </c>
      <c r="B591" s="16" t="s">
        <v>128</v>
      </c>
      <c r="C591" s="16" t="s">
        <v>128</v>
      </c>
      <c r="D591" s="26"/>
      <c r="E591" s="8"/>
      <c r="F591" s="16" t="s">
        <v>149</v>
      </c>
      <c r="G591" s="16" t="s">
        <v>150</v>
      </c>
      <c r="H591" s="64" t="s">
        <v>16</v>
      </c>
      <c r="I591" s="57" t="s">
        <v>15</v>
      </c>
      <c r="J591" s="51" t="s">
        <v>8</v>
      </c>
      <c r="K591" s="8" t="s">
        <v>15</v>
      </c>
      <c r="L591" s="51" t="s">
        <v>1054</v>
      </c>
      <c r="M591" s="86">
        <v>2012</v>
      </c>
      <c r="N591" s="86">
        <v>2014</v>
      </c>
      <c r="O591" s="104">
        <v>229.7</v>
      </c>
      <c r="P591" s="29">
        <v>95</v>
      </c>
      <c r="Q591" s="251">
        <v>84.2</v>
      </c>
      <c r="R591" s="104">
        <v>77.900000000000006</v>
      </c>
      <c r="S591" s="104">
        <v>43.3</v>
      </c>
      <c r="T591" s="104"/>
      <c r="U591" s="104"/>
      <c r="V591" s="104"/>
      <c r="W591" s="57" t="s">
        <v>341</v>
      </c>
      <c r="X591" s="57" t="s">
        <v>278</v>
      </c>
      <c r="Y591" s="88"/>
      <c r="Z591" s="308" t="s">
        <v>1029</v>
      </c>
      <c r="AA591" s="5" t="s">
        <v>159</v>
      </c>
      <c r="AB591" s="277"/>
      <c r="AC591" s="117"/>
      <c r="AD59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84.2</v>
      </c>
      <c r="AE59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76.14858260019551</v>
      </c>
      <c r="AF59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41.537282348957305</v>
      </c>
      <c r="AG59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91"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91"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91" s="32">
        <f t="shared" si="48"/>
        <v>201.88586494915285</v>
      </c>
      <c r="AK591" s="32">
        <f t="shared" si="50"/>
        <v>0</v>
      </c>
      <c r="AL591" s="32">
        <f t="shared" si="49"/>
        <v>117.68586494915284</v>
      </c>
      <c r="AM591" s="6"/>
    </row>
    <row r="592" spans="1:39" ht="31.5" customHeight="1">
      <c r="A592" s="16" t="s">
        <v>42</v>
      </c>
      <c r="B592" s="16" t="s">
        <v>128</v>
      </c>
      <c r="C592" s="16" t="s">
        <v>128</v>
      </c>
      <c r="D592" s="26"/>
      <c r="E592" s="8"/>
      <c r="F592" s="16" t="s">
        <v>46</v>
      </c>
      <c r="G592" s="16" t="s">
        <v>138</v>
      </c>
      <c r="H592" s="64" t="s">
        <v>18</v>
      </c>
      <c r="I592" s="57" t="s">
        <v>15</v>
      </c>
      <c r="J592" s="51" t="s">
        <v>8</v>
      </c>
      <c r="K592" s="8" t="s">
        <v>15</v>
      </c>
      <c r="L592" s="51" t="s">
        <v>1054</v>
      </c>
      <c r="M592" s="86">
        <v>2011</v>
      </c>
      <c r="N592" s="86">
        <v>2013</v>
      </c>
      <c r="O592" s="104">
        <v>166.4</v>
      </c>
      <c r="P592" s="29">
        <v>122.4</v>
      </c>
      <c r="Q592" s="251">
        <v>77.400000000000006</v>
      </c>
      <c r="R592" s="104">
        <v>30.8</v>
      </c>
      <c r="S592" s="104">
        <v>0.7</v>
      </c>
      <c r="T592" s="104"/>
      <c r="U592" s="104"/>
      <c r="V592" s="104"/>
      <c r="W592" s="57" t="s">
        <v>341</v>
      </c>
      <c r="X592" s="57" t="s">
        <v>278</v>
      </c>
      <c r="Y592" s="88"/>
      <c r="Z592" s="308" t="s">
        <v>1029</v>
      </c>
      <c r="AA592" s="5" t="s">
        <v>159</v>
      </c>
      <c r="AB592" s="277"/>
      <c r="AC592" s="117"/>
      <c r="AD59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77.400000000000006</v>
      </c>
      <c r="AE59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30.107526881720432</v>
      </c>
      <c r="AF59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0.67150340979838596</v>
      </c>
      <c r="AG59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92"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92"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92" s="32">
        <f t="shared" si="48"/>
        <v>108.17903029151883</v>
      </c>
      <c r="AK592" s="32">
        <f t="shared" si="50"/>
        <v>0</v>
      </c>
      <c r="AL592" s="32">
        <f t="shared" si="49"/>
        <v>30.779030291518822</v>
      </c>
      <c r="AM592" s="6"/>
    </row>
    <row r="593" spans="1:39" ht="31.5" customHeight="1">
      <c r="A593" s="16" t="s">
        <v>42</v>
      </c>
      <c r="B593" s="16" t="s">
        <v>128</v>
      </c>
      <c r="C593" s="16" t="s">
        <v>128</v>
      </c>
      <c r="D593" s="26"/>
      <c r="E593" s="8"/>
      <c r="F593" s="16" t="s">
        <v>47</v>
      </c>
      <c r="G593" s="16" t="s">
        <v>137</v>
      </c>
      <c r="H593" s="64" t="s">
        <v>57</v>
      </c>
      <c r="I593" s="57" t="s">
        <v>15</v>
      </c>
      <c r="J593" s="51" t="s">
        <v>8</v>
      </c>
      <c r="K593" s="8" t="s">
        <v>15</v>
      </c>
      <c r="L593" s="51" t="s">
        <v>1054</v>
      </c>
      <c r="M593" s="86">
        <v>2012</v>
      </c>
      <c r="N593" s="86">
        <v>2014</v>
      </c>
      <c r="O593" s="104">
        <v>176.642</v>
      </c>
      <c r="P593" s="29">
        <v>102.24</v>
      </c>
      <c r="Q593" s="251">
        <v>62.23</v>
      </c>
      <c r="R593" s="104">
        <v>45.19</v>
      </c>
      <c r="S593" s="104">
        <v>25.35</v>
      </c>
      <c r="T593" s="104"/>
      <c r="U593" s="104"/>
      <c r="V593" s="104"/>
      <c r="W593" s="57" t="s">
        <v>341</v>
      </c>
      <c r="X593" s="57" t="s">
        <v>278</v>
      </c>
      <c r="Y593" s="88"/>
      <c r="Z593" s="308" t="s">
        <v>1029</v>
      </c>
      <c r="AA593" s="5" t="s">
        <v>159</v>
      </c>
      <c r="AB593" s="277"/>
      <c r="AC593" s="117"/>
      <c r="AD59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62.23</v>
      </c>
      <c r="AE59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44.173998044965785</v>
      </c>
      <c r="AF59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24.318016340555836</v>
      </c>
      <c r="AG59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93"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93"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93" s="32">
        <f t="shared" si="48"/>
        <v>130.72201438552162</v>
      </c>
      <c r="AK593" s="32">
        <f t="shared" si="50"/>
        <v>0</v>
      </c>
      <c r="AL593" s="32">
        <f t="shared" si="49"/>
        <v>68.492014385521628</v>
      </c>
      <c r="AM593" s="6"/>
    </row>
    <row r="594" spans="1:39" ht="31.5" customHeight="1">
      <c r="A594" s="16" t="s">
        <v>42</v>
      </c>
      <c r="B594" s="16" t="s">
        <v>128</v>
      </c>
      <c r="C594" s="16" t="s">
        <v>128</v>
      </c>
      <c r="D594" s="26"/>
      <c r="E594" s="8"/>
      <c r="F594" s="16" t="s">
        <v>48</v>
      </c>
      <c r="G594" s="16" t="s">
        <v>131</v>
      </c>
      <c r="H594" s="64" t="s">
        <v>25</v>
      </c>
      <c r="I594" s="57" t="s">
        <v>15</v>
      </c>
      <c r="J594" s="51" t="s">
        <v>8</v>
      </c>
      <c r="K594" s="8" t="s">
        <v>15</v>
      </c>
      <c r="L594" s="51" t="s">
        <v>1054</v>
      </c>
      <c r="M594" s="86">
        <v>2011</v>
      </c>
      <c r="N594" s="86">
        <v>2014</v>
      </c>
      <c r="O594" s="104">
        <v>103</v>
      </c>
      <c r="P594" s="29">
        <v>85.5</v>
      </c>
      <c r="Q594" s="251">
        <v>0.56999999999999995</v>
      </c>
      <c r="R594" s="104">
        <v>0.46</v>
      </c>
      <c r="S594" s="104"/>
      <c r="T594" s="104"/>
      <c r="U594" s="104"/>
      <c r="V594" s="104"/>
      <c r="W594" s="57" t="s">
        <v>341</v>
      </c>
      <c r="X594" s="57" t="s">
        <v>278</v>
      </c>
      <c r="Y594" s="88"/>
      <c r="Z594" s="308" t="s">
        <v>1029</v>
      </c>
      <c r="AA594" s="5" t="s">
        <v>159</v>
      </c>
      <c r="AB594" s="277"/>
      <c r="AC594" s="117"/>
      <c r="AD59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0.56999999999999995</v>
      </c>
      <c r="AE59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0.44965786901270771</v>
      </c>
      <c r="AF59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59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94"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94"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94" s="32">
        <f t="shared" si="48"/>
        <v>1.0196578690127076</v>
      </c>
      <c r="AK594" s="32">
        <f t="shared" si="50"/>
        <v>0</v>
      </c>
      <c r="AL594" s="32">
        <f t="shared" si="49"/>
        <v>0.44965786901270766</v>
      </c>
      <c r="AM594" s="6"/>
    </row>
    <row r="595" spans="1:39" ht="31.5" customHeight="1">
      <c r="A595" s="16" t="s">
        <v>42</v>
      </c>
      <c r="B595" s="16" t="s">
        <v>128</v>
      </c>
      <c r="C595" s="16" t="s">
        <v>128</v>
      </c>
      <c r="D595" s="26"/>
      <c r="E595" s="8"/>
      <c r="F595" s="16" t="s">
        <v>139</v>
      </c>
      <c r="G595" s="16" t="s">
        <v>140</v>
      </c>
      <c r="H595" s="64" t="s">
        <v>56</v>
      </c>
      <c r="I595" s="57" t="s">
        <v>15</v>
      </c>
      <c r="J595" s="51" t="s">
        <v>8</v>
      </c>
      <c r="K595" s="8" t="s">
        <v>15</v>
      </c>
      <c r="L595" s="51" t="s">
        <v>1054</v>
      </c>
      <c r="M595" s="86">
        <v>2013</v>
      </c>
      <c r="N595" s="86">
        <v>2015</v>
      </c>
      <c r="O595" s="104">
        <v>100.4</v>
      </c>
      <c r="P595" s="29">
        <v>33</v>
      </c>
      <c r="Q595" s="251">
        <v>35</v>
      </c>
      <c r="R595" s="104">
        <v>45</v>
      </c>
      <c r="S595" s="104">
        <v>20.399999999999999</v>
      </c>
      <c r="T595" s="104"/>
      <c r="U595" s="104"/>
      <c r="V595" s="104"/>
      <c r="W595" s="57" t="s">
        <v>341</v>
      </c>
      <c r="X595" s="57" t="s">
        <v>278</v>
      </c>
      <c r="Y595" s="88"/>
      <c r="Z595" s="308" t="s">
        <v>1029</v>
      </c>
      <c r="AA595" s="5" t="s">
        <v>159</v>
      </c>
      <c r="AB595" s="277"/>
      <c r="AC595" s="117"/>
      <c r="AD59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35</v>
      </c>
      <c r="AE59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43.988269794721411</v>
      </c>
      <c r="AF59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19.569527942695817</v>
      </c>
      <c r="AG59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95"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95"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95" s="32">
        <f t="shared" si="48"/>
        <v>98.557797737417232</v>
      </c>
      <c r="AK595" s="32">
        <f t="shared" si="50"/>
        <v>0</v>
      </c>
      <c r="AL595" s="32">
        <f t="shared" si="49"/>
        <v>63.557797737417232</v>
      </c>
      <c r="AM595" s="6"/>
    </row>
    <row r="596" spans="1:39" ht="31.5" customHeight="1">
      <c r="A596" s="16" t="s">
        <v>42</v>
      </c>
      <c r="B596" s="16" t="s">
        <v>156</v>
      </c>
      <c r="C596" s="16" t="s">
        <v>156</v>
      </c>
      <c r="D596" s="26"/>
      <c r="E596" s="8"/>
      <c r="F596" s="16" t="s">
        <v>142</v>
      </c>
      <c r="G596" s="16" t="s">
        <v>143</v>
      </c>
      <c r="H596" s="64" t="s">
        <v>56</v>
      </c>
      <c r="I596" s="57" t="s">
        <v>15</v>
      </c>
      <c r="J596" s="51" t="s">
        <v>8</v>
      </c>
      <c r="K596" s="8" t="s">
        <v>15</v>
      </c>
      <c r="L596" s="51" t="s">
        <v>449</v>
      </c>
      <c r="M596" s="86">
        <v>2014</v>
      </c>
      <c r="N596" s="86">
        <v>2016</v>
      </c>
      <c r="O596" s="104">
        <v>168</v>
      </c>
      <c r="P596" s="29"/>
      <c r="Q596" s="251"/>
      <c r="R596" s="104">
        <v>46</v>
      </c>
      <c r="S596" s="104">
        <v>81</v>
      </c>
      <c r="T596" s="104">
        <v>41</v>
      </c>
      <c r="U596" s="104"/>
      <c r="V596" s="104"/>
      <c r="W596" s="57" t="s">
        <v>341</v>
      </c>
      <c r="X596" s="57" t="s">
        <v>278</v>
      </c>
      <c r="Y596" s="88"/>
      <c r="Z596" s="308" t="s">
        <v>1029</v>
      </c>
      <c r="AA596" s="5" t="s">
        <v>159</v>
      </c>
      <c r="AB596" s="5" t="s">
        <v>1278</v>
      </c>
      <c r="AC596" s="117"/>
      <c r="AD59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9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44.965786901270775</v>
      </c>
      <c r="AF59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77.702537419527516</v>
      </c>
      <c r="AG59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38.635475444476313</v>
      </c>
      <c r="AH596"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96"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96" s="32">
        <f t="shared" si="48"/>
        <v>161.30379976527462</v>
      </c>
      <c r="AK596" s="32">
        <f t="shared" si="50"/>
        <v>0</v>
      </c>
      <c r="AL596" s="32">
        <f t="shared" si="49"/>
        <v>161.30379976527462</v>
      </c>
      <c r="AM596" s="6"/>
    </row>
    <row r="597" spans="1:39" ht="31.5" customHeight="1">
      <c r="A597" s="16" t="s">
        <v>42</v>
      </c>
      <c r="B597" s="16" t="s">
        <v>156</v>
      </c>
      <c r="C597" s="16" t="s">
        <v>156</v>
      </c>
      <c r="D597" s="26"/>
      <c r="E597" s="8"/>
      <c r="F597" s="16" t="s">
        <v>163</v>
      </c>
      <c r="G597" s="16" t="s">
        <v>283</v>
      </c>
      <c r="H597" s="64" t="s">
        <v>25</v>
      </c>
      <c r="I597" s="57" t="s">
        <v>15</v>
      </c>
      <c r="J597" s="51" t="s">
        <v>8</v>
      </c>
      <c r="K597" s="8" t="s">
        <v>7</v>
      </c>
      <c r="L597" s="51" t="s">
        <v>1054</v>
      </c>
      <c r="M597" s="86">
        <v>2013</v>
      </c>
      <c r="N597" s="86">
        <v>2015</v>
      </c>
      <c r="O597" s="104">
        <v>198</v>
      </c>
      <c r="P597" s="29"/>
      <c r="Q597" s="251">
        <v>83</v>
      </c>
      <c r="R597" s="104">
        <v>82</v>
      </c>
      <c r="S597" s="104">
        <v>33</v>
      </c>
      <c r="T597" s="104"/>
      <c r="U597" s="104"/>
      <c r="V597" s="104"/>
      <c r="W597" s="57" t="s">
        <v>341</v>
      </c>
      <c r="X597" s="57" t="s">
        <v>278</v>
      </c>
      <c r="Y597" s="88"/>
      <c r="Z597" s="308" t="s">
        <v>1029</v>
      </c>
      <c r="AA597" s="5" t="s">
        <v>159</v>
      </c>
      <c r="AB597" s="277"/>
      <c r="AC597" s="117"/>
      <c r="AD59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83</v>
      </c>
      <c r="AE59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80.156402737047898</v>
      </c>
      <c r="AF59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31.656589319066768</v>
      </c>
      <c r="AG59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97"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97"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97" s="32">
        <f t="shared" si="48"/>
        <v>194.81299205611467</v>
      </c>
      <c r="AK597" s="32">
        <f t="shared" si="50"/>
        <v>0</v>
      </c>
      <c r="AL597" s="32">
        <f t="shared" si="49"/>
        <v>111.81299205611467</v>
      </c>
      <c r="AM597" s="6"/>
    </row>
    <row r="598" spans="1:39" ht="31.5" customHeight="1">
      <c r="A598" s="16" t="s">
        <v>42</v>
      </c>
      <c r="B598" s="16" t="s">
        <v>156</v>
      </c>
      <c r="C598" s="16" t="s">
        <v>156</v>
      </c>
      <c r="D598" s="26"/>
      <c r="E598" s="8"/>
      <c r="F598" s="16" t="s">
        <v>280</v>
      </c>
      <c r="G598" s="16" t="s">
        <v>281</v>
      </c>
      <c r="H598" s="64" t="s">
        <v>57</v>
      </c>
      <c r="I598" s="57" t="s">
        <v>282</v>
      </c>
      <c r="J598" s="51" t="s">
        <v>8</v>
      </c>
      <c r="K598" s="8" t="s">
        <v>282</v>
      </c>
      <c r="L598" s="51" t="s">
        <v>1054</v>
      </c>
      <c r="M598" s="86">
        <v>2011</v>
      </c>
      <c r="N598" s="86">
        <v>2014</v>
      </c>
      <c r="O598" s="104">
        <v>200</v>
      </c>
      <c r="P598" s="29"/>
      <c r="Q598" s="251">
        <v>66.666666666666671</v>
      </c>
      <c r="R598" s="104">
        <v>66.666666666666671</v>
      </c>
      <c r="S598" s="104"/>
      <c r="T598" s="104"/>
      <c r="U598" s="104"/>
      <c r="V598" s="104"/>
      <c r="W598" s="57" t="s">
        <v>13</v>
      </c>
      <c r="X598" s="57" t="s">
        <v>278</v>
      </c>
      <c r="Y598" s="88"/>
      <c r="Z598" s="308" t="s">
        <v>1029</v>
      </c>
      <c r="AA598" s="5" t="s">
        <v>162</v>
      </c>
      <c r="AB598" s="277" t="s">
        <v>1277</v>
      </c>
      <c r="AC598" s="117"/>
      <c r="AD59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66.666666666666671</v>
      </c>
      <c r="AE59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65.167807103290983</v>
      </c>
      <c r="AF59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59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98"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98"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98" s="32">
        <f t="shared" si="48"/>
        <v>131.83447376995764</v>
      </c>
      <c r="AK598" s="32">
        <f t="shared" si="50"/>
        <v>0</v>
      </c>
      <c r="AL598" s="32">
        <f t="shared" si="49"/>
        <v>65.167807103290968</v>
      </c>
      <c r="AM598" s="6"/>
    </row>
    <row r="599" spans="1:39" ht="31.5" customHeight="1">
      <c r="A599" s="16" t="s">
        <v>42</v>
      </c>
      <c r="B599" s="16" t="s">
        <v>156</v>
      </c>
      <c r="C599" s="16" t="s">
        <v>156</v>
      </c>
      <c r="D599" s="26"/>
      <c r="E599" s="8"/>
      <c r="F599" s="16" t="s">
        <v>284</v>
      </c>
      <c r="G599" s="16" t="s">
        <v>285</v>
      </c>
      <c r="H599" s="64" t="s">
        <v>20</v>
      </c>
      <c r="I599" s="57" t="s">
        <v>15</v>
      </c>
      <c r="J599" s="51" t="s">
        <v>8</v>
      </c>
      <c r="K599" s="8" t="s">
        <v>7</v>
      </c>
      <c r="L599" s="51" t="s">
        <v>449</v>
      </c>
      <c r="M599" s="86">
        <v>2014</v>
      </c>
      <c r="N599" s="86">
        <v>2017</v>
      </c>
      <c r="O599" s="104">
        <v>130</v>
      </c>
      <c r="P599" s="29"/>
      <c r="Q599" s="251"/>
      <c r="R599" s="104"/>
      <c r="S599" s="104"/>
      <c r="T599" s="104"/>
      <c r="U599" s="104"/>
      <c r="V599" s="104"/>
      <c r="W599" s="57" t="s">
        <v>13</v>
      </c>
      <c r="X599" s="57" t="s">
        <v>278</v>
      </c>
      <c r="Y599" s="88"/>
      <c r="Z599" s="308" t="s">
        <v>1029</v>
      </c>
      <c r="AA599" s="5" t="s">
        <v>1252</v>
      </c>
      <c r="AB599" s="277" t="s">
        <v>1277</v>
      </c>
      <c r="AC599" s="117"/>
      <c r="AD59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59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59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59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599"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599"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599" s="32">
        <f t="shared" si="48"/>
        <v>0</v>
      </c>
      <c r="AK599" s="32">
        <f t="shared" si="50"/>
        <v>0</v>
      </c>
      <c r="AL599" s="32">
        <f t="shared" si="49"/>
        <v>0</v>
      </c>
      <c r="AM599" s="6"/>
    </row>
    <row r="600" spans="1:39" ht="31.5" customHeight="1">
      <c r="A600" s="16" t="s">
        <v>42</v>
      </c>
      <c r="B600" s="16" t="s">
        <v>156</v>
      </c>
      <c r="C600" s="16" t="s">
        <v>156</v>
      </c>
      <c r="D600" s="26"/>
      <c r="E600" s="8"/>
      <c r="F600" s="16" t="s">
        <v>286</v>
      </c>
      <c r="G600" s="16" t="s">
        <v>286</v>
      </c>
      <c r="H600" s="64" t="s">
        <v>16</v>
      </c>
      <c r="I600" s="57" t="s">
        <v>282</v>
      </c>
      <c r="J600" s="51" t="s">
        <v>8</v>
      </c>
      <c r="K600" s="8" t="s">
        <v>282</v>
      </c>
      <c r="L600" s="51" t="s">
        <v>1054</v>
      </c>
      <c r="M600" s="86">
        <v>2013</v>
      </c>
      <c r="N600" s="86">
        <v>2015</v>
      </c>
      <c r="O600" s="104">
        <v>65</v>
      </c>
      <c r="P600" s="29"/>
      <c r="Q600" s="251"/>
      <c r="R600" s="104"/>
      <c r="S600" s="104"/>
      <c r="T600" s="104"/>
      <c r="U600" s="104"/>
      <c r="V600" s="104"/>
      <c r="W600" s="57" t="s">
        <v>13</v>
      </c>
      <c r="X600" s="57" t="s">
        <v>278</v>
      </c>
      <c r="Y600" s="88"/>
      <c r="Z600" s="308" t="s">
        <v>1029</v>
      </c>
      <c r="AA600" s="5" t="s">
        <v>1252</v>
      </c>
      <c r="AB600" s="277" t="s">
        <v>1277</v>
      </c>
      <c r="AC600" s="117"/>
      <c r="AD60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60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60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60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600"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600"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600" s="32">
        <f t="shared" si="48"/>
        <v>0</v>
      </c>
      <c r="AK600" s="32">
        <f t="shared" si="50"/>
        <v>0</v>
      </c>
      <c r="AL600" s="32">
        <f t="shared" si="49"/>
        <v>0</v>
      </c>
      <c r="AM600" s="6"/>
    </row>
    <row r="601" spans="1:39" ht="31.5" customHeight="1">
      <c r="A601" s="16" t="s">
        <v>42</v>
      </c>
      <c r="B601" s="16" t="s">
        <v>156</v>
      </c>
      <c r="C601" s="16" t="s">
        <v>156</v>
      </c>
      <c r="D601" s="26"/>
      <c r="E601" s="8"/>
      <c r="F601" s="16" t="s">
        <v>287</v>
      </c>
      <c r="G601" s="16" t="s">
        <v>288</v>
      </c>
      <c r="H601" s="64" t="s">
        <v>14</v>
      </c>
      <c r="I601" s="57" t="s">
        <v>15</v>
      </c>
      <c r="J601" s="51" t="s">
        <v>8</v>
      </c>
      <c r="K601" s="8" t="s">
        <v>7</v>
      </c>
      <c r="L601" s="51" t="s">
        <v>1054</v>
      </c>
      <c r="M601" s="86">
        <v>2011</v>
      </c>
      <c r="N601" s="86">
        <v>2013</v>
      </c>
      <c r="O601" s="104">
        <v>300</v>
      </c>
      <c r="P601" s="29"/>
      <c r="Q601" s="251"/>
      <c r="R601" s="104"/>
      <c r="S601" s="104"/>
      <c r="T601" s="104"/>
      <c r="U601" s="104"/>
      <c r="V601" s="104"/>
      <c r="W601" s="57" t="s">
        <v>13</v>
      </c>
      <c r="X601" s="57" t="s">
        <v>278</v>
      </c>
      <c r="Y601" s="88"/>
      <c r="Z601" s="308" t="s">
        <v>1029</v>
      </c>
      <c r="AA601" s="5" t="s">
        <v>1252</v>
      </c>
      <c r="AB601" s="277" t="s">
        <v>1277</v>
      </c>
      <c r="AC601" s="117"/>
      <c r="AD60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60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60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60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601"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601"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601" s="32">
        <f t="shared" si="48"/>
        <v>0</v>
      </c>
      <c r="AK601" s="32">
        <f t="shared" si="50"/>
        <v>0</v>
      </c>
      <c r="AL601" s="32">
        <f t="shared" si="49"/>
        <v>0</v>
      </c>
      <c r="AM601" s="6"/>
    </row>
    <row r="602" spans="1:39" ht="31.5" customHeight="1">
      <c r="A602" s="16" t="s">
        <v>42</v>
      </c>
      <c r="B602" s="16" t="s">
        <v>156</v>
      </c>
      <c r="C602" s="16" t="s">
        <v>156</v>
      </c>
      <c r="D602" s="26"/>
      <c r="E602" s="8"/>
      <c r="F602" s="16" t="s">
        <v>49</v>
      </c>
      <c r="G602" s="16" t="s">
        <v>160</v>
      </c>
      <c r="H602" s="64" t="s">
        <v>16</v>
      </c>
      <c r="I602" s="57" t="s">
        <v>15</v>
      </c>
      <c r="J602" s="51" t="s">
        <v>8</v>
      </c>
      <c r="K602" s="8" t="s">
        <v>7</v>
      </c>
      <c r="L602" s="51" t="s">
        <v>1032</v>
      </c>
      <c r="M602" s="86">
        <v>2014</v>
      </c>
      <c r="N602" s="86">
        <v>2017</v>
      </c>
      <c r="O602" s="104">
        <v>150</v>
      </c>
      <c r="P602" s="29"/>
      <c r="Q602" s="251"/>
      <c r="R602" s="104"/>
      <c r="S602" s="104">
        <v>50</v>
      </c>
      <c r="T602" s="104">
        <v>50</v>
      </c>
      <c r="U602" s="104">
        <v>50</v>
      </c>
      <c r="V602" s="104"/>
      <c r="W602" s="57" t="s">
        <v>341</v>
      </c>
      <c r="X602" s="57" t="s">
        <v>278</v>
      </c>
      <c r="Y602" s="88"/>
      <c r="Z602" s="308" t="s">
        <v>1029</v>
      </c>
      <c r="AA602" s="5" t="s">
        <v>159</v>
      </c>
      <c r="AB602" s="277" t="s">
        <v>1277</v>
      </c>
      <c r="AC602" s="117"/>
      <c r="AD60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60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60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47.964529271313282</v>
      </c>
      <c r="AG60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47.116433468873552</v>
      </c>
      <c r="AH602"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46.328843135568889</v>
      </c>
      <c r="AI602"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602" s="32">
        <f t="shared" si="48"/>
        <v>95.080962740186834</v>
      </c>
      <c r="AK602" s="32">
        <f t="shared" si="50"/>
        <v>46.328843135568889</v>
      </c>
      <c r="AL602" s="32">
        <f t="shared" si="49"/>
        <v>141.40980587575572</v>
      </c>
      <c r="AM602" s="6"/>
    </row>
    <row r="603" spans="1:39" ht="31.5" customHeight="1">
      <c r="A603" s="16" t="s">
        <v>42</v>
      </c>
      <c r="B603" s="16" t="s">
        <v>156</v>
      </c>
      <c r="C603" s="16" t="s">
        <v>156</v>
      </c>
      <c r="D603" s="26"/>
      <c r="E603" s="8"/>
      <c r="F603" s="16" t="s">
        <v>289</v>
      </c>
      <c r="G603" s="16" t="s">
        <v>290</v>
      </c>
      <c r="H603" s="64" t="s">
        <v>20</v>
      </c>
      <c r="I603" s="57" t="s">
        <v>15</v>
      </c>
      <c r="J603" s="51" t="s">
        <v>8</v>
      </c>
      <c r="K603" s="8" t="s">
        <v>15</v>
      </c>
      <c r="L603" s="51" t="s">
        <v>1054</v>
      </c>
      <c r="M603" s="86">
        <v>2011</v>
      </c>
      <c r="N603" s="86">
        <v>2013</v>
      </c>
      <c r="O603" s="104">
        <v>145</v>
      </c>
      <c r="P603" s="29"/>
      <c r="Q603" s="251">
        <v>48.333333333333336</v>
      </c>
      <c r="R603" s="104"/>
      <c r="S603" s="104"/>
      <c r="T603" s="104"/>
      <c r="U603" s="104"/>
      <c r="V603" s="104"/>
      <c r="W603" s="57" t="s">
        <v>341</v>
      </c>
      <c r="X603" s="57" t="s">
        <v>278</v>
      </c>
      <c r="Y603" s="88"/>
      <c r="Z603" s="308" t="s">
        <v>1029</v>
      </c>
      <c r="AA603" s="5" t="s">
        <v>1252</v>
      </c>
      <c r="AB603" s="277" t="s">
        <v>1277</v>
      </c>
      <c r="AC603" s="117"/>
      <c r="AD60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48.333333333333343</v>
      </c>
      <c r="AE60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60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60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603"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603"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603" s="32">
        <f t="shared" si="48"/>
        <v>48.333333333333343</v>
      </c>
      <c r="AK603" s="32">
        <f t="shared" si="50"/>
        <v>0</v>
      </c>
      <c r="AL603" s="32">
        <f t="shared" si="49"/>
        <v>0</v>
      </c>
      <c r="AM603" s="6"/>
    </row>
    <row r="604" spans="1:39" ht="31.5" customHeight="1">
      <c r="A604" s="16" t="s">
        <v>42</v>
      </c>
      <c r="B604" s="16" t="s">
        <v>156</v>
      </c>
      <c r="C604" s="16" t="s">
        <v>156</v>
      </c>
      <c r="D604" s="26"/>
      <c r="E604" s="8"/>
      <c r="F604" s="16" t="s">
        <v>155</v>
      </c>
      <c r="G604" s="16" t="s">
        <v>130</v>
      </c>
      <c r="H604" s="64" t="s">
        <v>21</v>
      </c>
      <c r="I604" s="57" t="s">
        <v>15</v>
      </c>
      <c r="J604" s="51" t="s">
        <v>8</v>
      </c>
      <c r="K604" s="8" t="s">
        <v>15</v>
      </c>
      <c r="L604" s="51" t="s">
        <v>449</v>
      </c>
      <c r="M604" s="86">
        <v>2014</v>
      </c>
      <c r="N604" s="86">
        <v>2017</v>
      </c>
      <c r="O604" s="104">
        <v>369</v>
      </c>
      <c r="P604" s="29"/>
      <c r="Q604" s="251">
        <v>123</v>
      </c>
      <c r="R604" s="104">
        <v>123</v>
      </c>
      <c r="S604" s="104">
        <v>123</v>
      </c>
      <c r="T604" s="104"/>
      <c r="U604" s="104"/>
      <c r="V604" s="104"/>
      <c r="W604" s="57" t="s">
        <v>13</v>
      </c>
      <c r="X604" s="57" t="s">
        <v>278</v>
      </c>
      <c r="Y604" s="88"/>
      <c r="Z604" s="308" t="s">
        <v>1029</v>
      </c>
      <c r="AA604" s="5" t="s">
        <v>159</v>
      </c>
      <c r="AB604" s="5" t="s">
        <v>291</v>
      </c>
      <c r="AC604" s="117"/>
      <c r="AD60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123</v>
      </c>
      <c r="AE60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120.23460410557185</v>
      </c>
      <c r="AF60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117.99274200743068</v>
      </c>
      <c r="AG60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604"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604"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604" s="32">
        <f t="shared" si="48"/>
        <v>361.22734611300257</v>
      </c>
      <c r="AK604" s="32">
        <f t="shared" si="50"/>
        <v>0</v>
      </c>
      <c r="AL604" s="32">
        <f t="shared" si="49"/>
        <v>238.22734611300257</v>
      </c>
      <c r="AM604" s="6"/>
    </row>
    <row r="605" spans="1:39" ht="31.5" customHeight="1">
      <c r="A605" s="16" t="s">
        <v>42</v>
      </c>
      <c r="B605" s="16" t="s">
        <v>156</v>
      </c>
      <c r="C605" s="16" t="s">
        <v>156</v>
      </c>
      <c r="D605" s="26"/>
      <c r="E605" s="8"/>
      <c r="F605" s="16" t="s">
        <v>292</v>
      </c>
      <c r="G605" s="16" t="s">
        <v>292</v>
      </c>
      <c r="H605" s="64" t="s">
        <v>25</v>
      </c>
      <c r="I605" s="57" t="s">
        <v>15</v>
      </c>
      <c r="J605" s="51" t="s">
        <v>8</v>
      </c>
      <c r="K605" s="8" t="s">
        <v>15</v>
      </c>
      <c r="L605" s="51" t="s">
        <v>449</v>
      </c>
      <c r="M605" s="86">
        <v>2014</v>
      </c>
      <c r="N605" s="86">
        <v>2016</v>
      </c>
      <c r="O605" s="104"/>
      <c r="P605" s="29"/>
      <c r="Q605" s="251"/>
      <c r="R605" s="104"/>
      <c r="S605" s="104"/>
      <c r="T605" s="104"/>
      <c r="U605" s="104"/>
      <c r="V605" s="104"/>
      <c r="W605" s="57" t="s">
        <v>13</v>
      </c>
      <c r="X605" s="57" t="s">
        <v>278</v>
      </c>
      <c r="Y605" s="88"/>
      <c r="Z605" s="308" t="s">
        <v>1029</v>
      </c>
      <c r="AA605" s="5" t="s">
        <v>1252</v>
      </c>
      <c r="AB605" s="277" t="s">
        <v>1277</v>
      </c>
      <c r="AC605" s="117"/>
      <c r="AD60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60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60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60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605"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605"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605" s="32">
        <f t="shared" si="48"/>
        <v>0</v>
      </c>
      <c r="AK605" s="32">
        <f t="shared" si="50"/>
        <v>0</v>
      </c>
      <c r="AL605" s="32">
        <f t="shared" si="49"/>
        <v>0</v>
      </c>
      <c r="AM605" s="6"/>
    </row>
    <row r="606" spans="1:39" ht="31.5" customHeight="1">
      <c r="A606" s="16" t="s">
        <v>42</v>
      </c>
      <c r="B606" s="16" t="s">
        <v>156</v>
      </c>
      <c r="C606" s="16" t="s">
        <v>156</v>
      </c>
      <c r="D606" s="26"/>
      <c r="E606" s="8"/>
      <c r="F606" s="16" t="s">
        <v>45</v>
      </c>
      <c r="G606" s="16" t="s">
        <v>148</v>
      </c>
      <c r="H606" s="64" t="s">
        <v>57</v>
      </c>
      <c r="I606" s="57" t="s">
        <v>15</v>
      </c>
      <c r="J606" s="51" t="s">
        <v>8</v>
      </c>
      <c r="K606" s="8" t="s">
        <v>15</v>
      </c>
      <c r="L606" s="51" t="s">
        <v>449</v>
      </c>
      <c r="M606" s="86">
        <v>2014</v>
      </c>
      <c r="N606" s="86">
        <v>2016</v>
      </c>
      <c r="O606" s="104">
        <v>155.1</v>
      </c>
      <c r="P606" s="29"/>
      <c r="Q606" s="251"/>
      <c r="R606" s="104">
        <v>48.2</v>
      </c>
      <c r="S606" s="104">
        <v>66.7</v>
      </c>
      <c r="T606" s="104">
        <v>40.200000000000003</v>
      </c>
      <c r="U606" s="104"/>
      <c r="V606" s="104"/>
      <c r="W606" s="57" t="s">
        <v>341</v>
      </c>
      <c r="X606" s="57" t="s">
        <v>278</v>
      </c>
      <c r="Y606" s="88"/>
      <c r="Z606" s="308" t="s">
        <v>1029</v>
      </c>
      <c r="AA606" s="5" t="s">
        <v>159</v>
      </c>
      <c r="AB606" s="5" t="s">
        <v>812</v>
      </c>
      <c r="AC606" s="117"/>
      <c r="AD60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60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47.116324535679375</v>
      </c>
      <c r="AF60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63.984682047931919</v>
      </c>
      <c r="AG60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37.881612508974342</v>
      </c>
      <c r="AH606"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606"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606" s="32">
        <f t="shared" si="48"/>
        <v>148.98261909258565</v>
      </c>
      <c r="AK606" s="32">
        <f t="shared" si="50"/>
        <v>0</v>
      </c>
      <c r="AL606" s="32">
        <f t="shared" si="49"/>
        <v>148.98261909258565</v>
      </c>
      <c r="AM606" s="6"/>
    </row>
    <row r="607" spans="1:39" ht="31.5" customHeight="1">
      <c r="A607" s="16" t="s">
        <v>42</v>
      </c>
      <c r="B607" s="16" t="s">
        <v>156</v>
      </c>
      <c r="C607" s="16" t="s">
        <v>156</v>
      </c>
      <c r="D607" s="26"/>
      <c r="E607" s="8"/>
      <c r="F607" s="16" t="s">
        <v>293</v>
      </c>
      <c r="G607" s="16" t="s">
        <v>293</v>
      </c>
      <c r="H607" s="64" t="s">
        <v>20</v>
      </c>
      <c r="I607" s="57" t="s">
        <v>15</v>
      </c>
      <c r="J607" s="51" t="s">
        <v>8</v>
      </c>
      <c r="K607" s="8" t="s">
        <v>7</v>
      </c>
      <c r="L607" s="51" t="s">
        <v>449</v>
      </c>
      <c r="M607" s="86">
        <v>2014</v>
      </c>
      <c r="N607" s="86">
        <v>2017</v>
      </c>
      <c r="O607" s="104">
        <v>145</v>
      </c>
      <c r="P607" s="29"/>
      <c r="Q607" s="251"/>
      <c r="R607" s="104"/>
      <c r="S607" s="104"/>
      <c r="T607" s="104"/>
      <c r="U607" s="104"/>
      <c r="V607" s="104"/>
      <c r="W607" s="57" t="s">
        <v>13</v>
      </c>
      <c r="X607" s="57" t="s">
        <v>278</v>
      </c>
      <c r="Y607" s="88"/>
      <c r="Z607" s="308" t="s">
        <v>1029</v>
      </c>
      <c r="AA607" s="5" t="s">
        <v>1252</v>
      </c>
      <c r="AB607" s="277" t="s">
        <v>1277</v>
      </c>
      <c r="AC607" s="117"/>
      <c r="AD60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60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60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60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607"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607"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607" s="32">
        <f t="shared" si="48"/>
        <v>0</v>
      </c>
      <c r="AK607" s="32">
        <f t="shared" si="50"/>
        <v>0</v>
      </c>
      <c r="AL607" s="32">
        <f t="shared" si="49"/>
        <v>0</v>
      </c>
      <c r="AM607" s="6"/>
    </row>
    <row r="608" spans="1:39" ht="31.5" customHeight="1">
      <c r="A608" s="16" t="s">
        <v>42</v>
      </c>
      <c r="B608" s="16" t="s">
        <v>156</v>
      </c>
      <c r="C608" s="16" t="s">
        <v>156</v>
      </c>
      <c r="D608" s="26"/>
      <c r="E608" s="8"/>
      <c r="F608" s="16" t="s">
        <v>141</v>
      </c>
      <c r="G608" s="16" t="s">
        <v>130</v>
      </c>
      <c r="H608" s="64" t="s">
        <v>56</v>
      </c>
      <c r="I608" s="57" t="s">
        <v>15</v>
      </c>
      <c r="J608" s="51" t="s">
        <v>8</v>
      </c>
      <c r="K608" s="8" t="s">
        <v>15</v>
      </c>
      <c r="L608" s="51" t="s">
        <v>449</v>
      </c>
      <c r="M608" s="86">
        <v>2014</v>
      </c>
      <c r="N608" s="86">
        <v>2017</v>
      </c>
      <c r="O608" s="104">
        <v>255</v>
      </c>
      <c r="P608" s="29"/>
      <c r="Q608" s="251"/>
      <c r="R608" s="104"/>
      <c r="S608" s="104"/>
      <c r="T608" s="104"/>
      <c r="U608" s="104"/>
      <c r="V608" s="104"/>
      <c r="W608" s="57" t="s">
        <v>341</v>
      </c>
      <c r="X608" s="57" t="s">
        <v>278</v>
      </c>
      <c r="Y608" s="88"/>
      <c r="Z608" s="308" t="s">
        <v>1029</v>
      </c>
      <c r="AA608" s="5" t="s">
        <v>159</v>
      </c>
      <c r="AB608" s="5" t="s">
        <v>294</v>
      </c>
      <c r="AC608" s="117"/>
      <c r="AD60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60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60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60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608"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608"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608" s="32">
        <f t="shared" si="48"/>
        <v>0</v>
      </c>
      <c r="AK608" s="32">
        <f t="shared" si="50"/>
        <v>0</v>
      </c>
      <c r="AL608" s="32">
        <f t="shared" si="49"/>
        <v>0</v>
      </c>
      <c r="AM608" s="6"/>
    </row>
    <row r="609" spans="1:39" ht="31.5" customHeight="1">
      <c r="A609" s="16" t="s">
        <v>42</v>
      </c>
      <c r="B609" s="16" t="s">
        <v>156</v>
      </c>
      <c r="C609" s="16" t="s">
        <v>156</v>
      </c>
      <c r="D609" s="26"/>
      <c r="E609" s="8"/>
      <c r="F609" s="16" t="s">
        <v>161</v>
      </c>
      <c r="G609" s="16" t="s">
        <v>295</v>
      </c>
      <c r="H609" s="64" t="s">
        <v>25</v>
      </c>
      <c r="I609" s="57" t="s">
        <v>7</v>
      </c>
      <c r="J609" s="51" t="s">
        <v>8</v>
      </c>
      <c r="K609" s="8" t="s">
        <v>7</v>
      </c>
      <c r="L609" s="51" t="s">
        <v>1054</v>
      </c>
      <c r="M609" s="55">
        <v>2011</v>
      </c>
      <c r="N609" s="86">
        <v>2013</v>
      </c>
      <c r="O609" s="104">
        <v>257</v>
      </c>
      <c r="P609" s="29"/>
      <c r="Q609" s="251"/>
      <c r="R609" s="104"/>
      <c r="S609" s="104"/>
      <c r="T609" s="104"/>
      <c r="U609" s="104"/>
      <c r="V609" s="104"/>
      <c r="W609" s="57" t="s">
        <v>341</v>
      </c>
      <c r="X609" s="57" t="s">
        <v>278</v>
      </c>
      <c r="Y609" s="88"/>
      <c r="Z609" s="308" t="s">
        <v>1029</v>
      </c>
      <c r="AA609" s="5" t="s">
        <v>159</v>
      </c>
      <c r="AB609" s="277" t="s">
        <v>1277</v>
      </c>
      <c r="AC609" s="117"/>
      <c r="AD60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60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60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60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609"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609"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609" s="32">
        <f t="shared" si="48"/>
        <v>0</v>
      </c>
      <c r="AK609" s="32">
        <f t="shared" si="50"/>
        <v>0</v>
      </c>
      <c r="AL609" s="32">
        <f t="shared" si="49"/>
        <v>0</v>
      </c>
      <c r="AM609" s="6"/>
    </row>
    <row r="610" spans="1:39" ht="31.5" customHeight="1">
      <c r="A610" s="16" t="s">
        <v>42</v>
      </c>
      <c r="B610" s="16" t="s">
        <v>156</v>
      </c>
      <c r="C610" s="16" t="s">
        <v>156</v>
      </c>
      <c r="D610" s="26"/>
      <c r="E610" s="8"/>
      <c r="F610" s="16" t="s">
        <v>296</v>
      </c>
      <c r="G610" s="16" t="s">
        <v>296</v>
      </c>
      <c r="H610" s="64" t="s">
        <v>26</v>
      </c>
      <c r="I610" s="57" t="s">
        <v>15</v>
      </c>
      <c r="J610" s="51" t="s">
        <v>8</v>
      </c>
      <c r="K610" s="8" t="s">
        <v>7</v>
      </c>
      <c r="L610" s="51" t="s">
        <v>449</v>
      </c>
      <c r="M610" s="86">
        <v>2014</v>
      </c>
      <c r="N610" s="86">
        <v>2017</v>
      </c>
      <c r="O610" s="104">
        <v>75</v>
      </c>
      <c r="P610" s="29"/>
      <c r="Q610" s="251"/>
      <c r="R610" s="104"/>
      <c r="S610" s="104"/>
      <c r="T610" s="104"/>
      <c r="U610" s="104"/>
      <c r="V610" s="104"/>
      <c r="W610" s="57" t="s">
        <v>13</v>
      </c>
      <c r="X610" s="57" t="s">
        <v>278</v>
      </c>
      <c r="Y610" s="88"/>
      <c r="Z610" s="308" t="s">
        <v>1029</v>
      </c>
      <c r="AA610" s="5" t="s">
        <v>1252</v>
      </c>
      <c r="AB610" s="277" t="s">
        <v>1277</v>
      </c>
      <c r="AC610" s="117"/>
      <c r="AD61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61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61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61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610"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610"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610" s="32">
        <f t="shared" si="48"/>
        <v>0</v>
      </c>
      <c r="AK610" s="32">
        <f t="shared" si="50"/>
        <v>0</v>
      </c>
      <c r="AL610" s="32">
        <f t="shared" si="49"/>
        <v>0</v>
      </c>
      <c r="AM610" s="6"/>
    </row>
    <row r="611" spans="1:39" ht="31.5" customHeight="1">
      <c r="A611" s="16" t="s">
        <v>42</v>
      </c>
      <c r="B611" s="16" t="s">
        <v>156</v>
      </c>
      <c r="C611" s="16" t="s">
        <v>156</v>
      </c>
      <c r="D611" s="26"/>
      <c r="E611" s="8"/>
      <c r="F611" s="16" t="s">
        <v>157</v>
      </c>
      <c r="G611" s="16" t="s">
        <v>158</v>
      </c>
      <c r="H611" s="64" t="s">
        <v>24</v>
      </c>
      <c r="I611" s="57" t="s">
        <v>282</v>
      </c>
      <c r="J611" s="51" t="s">
        <v>8</v>
      </c>
      <c r="K611" s="8" t="s">
        <v>282</v>
      </c>
      <c r="L611" s="51" t="s">
        <v>449</v>
      </c>
      <c r="M611" s="86">
        <v>2014</v>
      </c>
      <c r="N611" s="86">
        <v>2016</v>
      </c>
      <c r="O611" s="104">
        <v>191.1</v>
      </c>
      <c r="P611" s="29"/>
      <c r="Q611" s="251">
        <v>37.200000000000003</v>
      </c>
      <c r="R611" s="104">
        <v>72.3</v>
      </c>
      <c r="S611" s="104">
        <v>59.3</v>
      </c>
      <c r="T611" s="104">
        <v>20</v>
      </c>
      <c r="U611" s="104"/>
      <c r="V611" s="104"/>
      <c r="W611" s="57" t="s">
        <v>341</v>
      </c>
      <c r="X611" s="57" t="s">
        <v>278</v>
      </c>
      <c r="Y611" s="88"/>
      <c r="Z611" s="308" t="s">
        <v>1029</v>
      </c>
      <c r="AA611" s="5" t="s">
        <v>159</v>
      </c>
      <c r="AB611" s="277" t="s">
        <v>1277</v>
      </c>
      <c r="AC611" s="117"/>
      <c r="AD61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37.200000000000003</v>
      </c>
      <c r="AE61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70.674486803519059</v>
      </c>
      <c r="AF61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56.885931715777552</v>
      </c>
      <c r="AG61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18.846573387549419</v>
      </c>
      <c r="AH611"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611"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611" s="32">
        <f t="shared" si="48"/>
        <v>183.60699190684605</v>
      </c>
      <c r="AK611" s="32">
        <f t="shared" si="50"/>
        <v>0</v>
      </c>
      <c r="AL611" s="32">
        <f t="shared" si="49"/>
        <v>146.40699190684603</v>
      </c>
      <c r="AM611" s="6"/>
    </row>
    <row r="612" spans="1:39" ht="31.5" customHeight="1">
      <c r="A612" s="16" t="s">
        <v>42</v>
      </c>
      <c r="B612" s="16" t="s">
        <v>156</v>
      </c>
      <c r="C612" s="16" t="s">
        <v>156</v>
      </c>
      <c r="D612" s="26"/>
      <c r="E612" s="8"/>
      <c r="F612" s="16" t="s">
        <v>298</v>
      </c>
      <c r="G612" s="16" t="s">
        <v>298</v>
      </c>
      <c r="H612" s="64" t="s">
        <v>24</v>
      </c>
      <c r="I612" s="57" t="s">
        <v>15</v>
      </c>
      <c r="J612" s="51" t="s">
        <v>8</v>
      </c>
      <c r="K612" s="8" t="s">
        <v>15</v>
      </c>
      <c r="L612" s="51" t="s">
        <v>449</v>
      </c>
      <c r="M612" s="86">
        <v>2014</v>
      </c>
      <c r="N612" s="86">
        <v>2016</v>
      </c>
      <c r="O612" s="104">
        <v>235</v>
      </c>
      <c r="P612" s="29"/>
      <c r="Q612" s="251"/>
      <c r="R612" s="104"/>
      <c r="S612" s="104">
        <v>69.53</v>
      </c>
      <c r="T612" s="104">
        <v>97.9</v>
      </c>
      <c r="U612" s="104">
        <v>68.099999999999994</v>
      </c>
      <c r="V612" s="104"/>
      <c r="W612" s="57" t="s">
        <v>13</v>
      </c>
      <c r="X612" s="57" t="s">
        <v>278</v>
      </c>
      <c r="Y612" s="90"/>
      <c r="Z612" s="308" t="s">
        <v>1029</v>
      </c>
      <c r="AA612" s="5" t="s">
        <v>159</v>
      </c>
      <c r="AB612" s="277" t="s">
        <v>1277</v>
      </c>
      <c r="AC612" s="117"/>
      <c r="AD61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61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61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66.699474404688246</v>
      </c>
      <c r="AG61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92.253976732054412</v>
      </c>
      <c r="AH612"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63.099884350644814</v>
      </c>
      <c r="AI612"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612" s="32">
        <f t="shared" si="48"/>
        <v>158.95345113674267</v>
      </c>
      <c r="AK612" s="32">
        <f t="shared" si="50"/>
        <v>63.099884350644814</v>
      </c>
      <c r="AL612" s="32">
        <f t="shared" si="49"/>
        <v>222.05333548738747</v>
      </c>
      <c r="AM612" s="6"/>
    </row>
    <row r="613" spans="1:39" ht="31.5" customHeight="1">
      <c r="A613" s="16" t="s">
        <v>42</v>
      </c>
      <c r="B613" s="16" t="s">
        <v>156</v>
      </c>
      <c r="C613" s="16" t="s">
        <v>156</v>
      </c>
      <c r="D613" s="26"/>
      <c r="E613" s="8"/>
      <c r="F613" s="16" t="s">
        <v>297</v>
      </c>
      <c r="G613" s="16" t="s">
        <v>297</v>
      </c>
      <c r="H613" s="64" t="s">
        <v>25</v>
      </c>
      <c r="I613" s="57" t="s">
        <v>15</v>
      </c>
      <c r="J613" s="51" t="s">
        <v>8</v>
      </c>
      <c r="K613" s="8" t="s">
        <v>282</v>
      </c>
      <c r="L613" s="51" t="s">
        <v>1054</v>
      </c>
      <c r="M613" s="86">
        <v>2012</v>
      </c>
      <c r="N613" s="86">
        <v>2014</v>
      </c>
      <c r="O613" s="104"/>
      <c r="P613" s="29"/>
      <c r="Q613" s="251"/>
      <c r="R613" s="104"/>
      <c r="S613" s="104"/>
      <c r="T613" s="104"/>
      <c r="U613" s="104"/>
      <c r="V613" s="104"/>
      <c r="W613" s="57" t="s">
        <v>13</v>
      </c>
      <c r="X613" s="57" t="s">
        <v>278</v>
      </c>
      <c r="Y613" s="88"/>
      <c r="Z613" s="308" t="s">
        <v>1029</v>
      </c>
      <c r="AA613" s="5" t="s">
        <v>1252</v>
      </c>
      <c r="AB613" s="277" t="s">
        <v>1277</v>
      </c>
      <c r="AC613" s="117"/>
      <c r="AD61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61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61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61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613"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613"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613" s="32">
        <f t="shared" si="48"/>
        <v>0</v>
      </c>
      <c r="AK613" s="32">
        <f t="shared" si="50"/>
        <v>0</v>
      </c>
      <c r="AL613" s="32">
        <f t="shared" si="49"/>
        <v>0</v>
      </c>
      <c r="AM613" s="6"/>
    </row>
    <row r="614" spans="1:39" ht="31.5" customHeight="1">
      <c r="A614" s="16" t="s">
        <v>42</v>
      </c>
      <c r="B614" s="16" t="s">
        <v>156</v>
      </c>
      <c r="C614" s="16" t="s">
        <v>156</v>
      </c>
      <c r="D614" s="26"/>
      <c r="E614" s="8"/>
      <c r="F614" s="16" t="s">
        <v>299</v>
      </c>
      <c r="G614" s="16" t="s">
        <v>299</v>
      </c>
      <c r="H614" s="64" t="s">
        <v>21</v>
      </c>
      <c r="I614" s="57" t="s">
        <v>282</v>
      </c>
      <c r="J614" s="51" t="s">
        <v>8</v>
      </c>
      <c r="K614" s="8" t="s">
        <v>282</v>
      </c>
      <c r="L614" s="51" t="s">
        <v>449</v>
      </c>
      <c r="M614" s="86">
        <v>2014</v>
      </c>
      <c r="N614" s="86">
        <v>2015</v>
      </c>
      <c r="O614" s="104">
        <v>49.2</v>
      </c>
      <c r="P614" s="29"/>
      <c r="Q614" s="251"/>
      <c r="R614" s="104"/>
      <c r="S614" s="104"/>
      <c r="T614" s="104"/>
      <c r="U614" s="104"/>
      <c r="V614" s="104"/>
      <c r="W614" s="57" t="s">
        <v>341</v>
      </c>
      <c r="X614" s="57" t="s">
        <v>278</v>
      </c>
      <c r="Y614" s="88"/>
      <c r="Z614" s="308" t="s">
        <v>1029</v>
      </c>
      <c r="AA614" s="5" t="s">
        <v>159</v>
      </c>
      <c r="AB614" s="277" t="s">
        <v>1277</v>
      </c>
      <c r="AC614" s="117"/>
      <c r="AD61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61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61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61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614"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614"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614" s="10">
        <f t="shared" si="48"/>
        <v>0</v>
      </c>
      <c r="AK614" s="10">
        <f t="shared" si="50"/>
        <v>0</v>
      </c>
      <c r="AL614" s="10">
        <f t="shared" si="49"/>
        <v>0</v>
      </c>
      <c r="AM614" s="6"/>
    </row>
    <row r="615" spans="1:39" ht="31.5" customHeight="1">
      <c r="A615" s="16" t="s">
        <v>42</v>
      </c>
      <c r="B615" s="16" t="s">
        <v>156</v>
      </c>
      <c r="C615" s="16" t="s">
        <v>156</v>
      </c>
      <c r="D615" s="26"/>
      <c r="E615" s="8"/>
      <c r="F615" s="16" t="s">
        <v>300</v>
      </c>
      <c r="G615" s="16" t="s">
        <v>300</v>
      </c>
      <c r="H615" s="64" t="s">
        <v>16</v>
      </c>
      <c r="I615" s="57" t="s">
        <v>282</v>
      </c>
      <c r="J615" s="51" t="s">
        <v>8</v>
      </c>
      <c r="K615" s="8" t="s">
        <v>15</v>
      </c>
      <c r="L615" s="51" t="s">
        <v>1054</v>
      </c>
      <c r="M615" s="86">
        <v>2011</v>
      </c>
      <c r="N615" s="86">
        <v>2013</v>
      </c>
      <c r="O615" s="104">
        <v>22.224</v>
      </c>
      <c r="P615" s="29"/>
      <c r="Q615" s="251">
        <v>9.0129999999999999</v>
      </c>
      <c r="R615" s="104"/>
      <c r="S615" s="104"/>
      <c r="T615" s="104"/>
      <c r="U615" s="104"/>
      <c r="V615" s="104"/>
      <c r="W615" s="57" t="s">
        <v>341</v>
      </c>
      <c r="X615" s="57" t="s">
        <v>278</v>
      </c>
      <c r="Y615" s="88"/>
      <c r="Z615" s="308" t="s">
        <v>1029</v>
      </c>
      <c r="AA615" s="5" t="s">
        <v>159</v>
      </c>
      <c r="AB615" s="277" t="s">
        <v>1277</v>
      </c>
      <c r="AC615" s="117"/>
      <c r="AD61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9.0129999999999999</v>
      </c>
      <c r="AE61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61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61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615"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615"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615" s="10">
        <f t="shared" si="48"/>
        <v>9.0129999999999999</v>
      </c>
      <c r="AK615" s="10">
        <f t="shared" si="50"/>
        <v>0</v>
      </c>
      <c r="AL615" s="10">
        <f t="shared" si="49"/>
        <v>0</v>
      </c>
      <c r="AM615" s="6"/>
    </row>
    <row r="616" spans="1:39" ht="31.5" customHeight="1">
      <c r="A616" s="6" t="s">
        <v>735</v>
      </c>
      <c r="B616" s="6" t="s">
        <v>736</v>
      </c>
      <c r="C616" s="6" t="s">
        <v>736</v>
      </c>
      <c r="D616" s="26"/>
      <c r="E616" s="8"/>
      <c r="F616" s="6" t="s">
        <v>737</v>
      </c>
      <c r="G616" s="6" t="s">
        <v>738</v>
      </c>
      <c r="H616" s="1" t="s">
        <v>24</v>
      </c>
      <c r="I616" s="1" t="s">
        <v>7</v>
      </c>
      <c r="J616" s="1" t="s">
        <v>10</v>
      </c>
      <c r="K616" s="1" t="s">
        <v>7</v>
      </c>
      <c r="L616" s="1" t="s">
        <v>444</v>
      </c>
      <c r="M616" s="86">
        <v>2016</v>
      </c>
      <c r="N616" s="86">
        <v>2023</v>
      </c>
      <c r="O616" s="142">
        <v>4180</v>
      </c>
      <c r="P616" s="9"/>
      <c r="Q616" s="254"/>
      <c r="R616" s="142"/>
      <c r="S616" s="142"/>
      <c r="T616" s="142"/>
      <c r="U616" s="104">
        <v>2610</v>
      </c>
      <c r="V616" s="104">
        <v>1570</v>
      </c>
      <c r="W616" s="124" t="s">
        <v>13</v>
      </c>
      <c r="X616" s="124" t="s">
        <v>12</v>
      </c>
      <c r="Y616" s="116"/>
      <c r="Z616" s="312" t="s">
        <v>1030</v>
      </c>
      <c r="AA616" s="6"/>
      <c r="AB616" s="6" t="s">
        <v>1248</v>
      </c>
      <c r="AC616" s="117" t="s">
        <v>10</v>
      </c>
      <c r="AD61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61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61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61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616"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2418.3656116766961</v>
      </c>
      <c r="AI616"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1347.9060901472124</v>
      </c>
      <c r="AJ616" s="10">
        <f t="shared" si="48"/>
        <v>0</v>
      </c>
      <c r="AK616" s="10">
        <f t="shared" si="50"/>
        <v>3766.2717018239082</v>
      </c>
      <c r="AL616" s="10">
        <f t="shared" si="49"/>
        <v>3766.2717018239082</v>
      </c>
      <c r="AM616" s="6"/>
    </row>
    <row r="617" spans="1:39" ht="31.5" customHeight="1">
      <c r="A617" s="25" t="s">
        <v>735</v>
      </c>
      <c r="B617" s="25" t="s">
        <v>739</v>
      </c>
      <c r="C617" s="18" t="s">
        <v>927</v>
      </c>
      <c r="D617" s="26" t="s">
        <v>1006</v>
      </c>
      <c r="E617" s="27"/>
      <c r="F617" s="26"/>
      <c r="G617" s="28"/>
      <c r="H617" s="64" t="s">
        <v>6</v>
      </c>
      <c r="I617" s="1" t="s">
        <v>7</v>
      </c>
      <c r="J617" s="1" t="s">
        <v>10</v>
      </c>
      <c r="K617" s="1" t="s">
        <v>7</v>
      </c>
      <c r="L617" s="1" t="s">
        <v>444</v>
      </c>
      <c r="M617" s="86">
        <v>2016</v>
      </c>
      <c r="N617" s="86">
        <v>2016</v>
      </c>
      <c r="O617" s="104">
        <v>3000</v>
      </c>
      <c r="P617" s="29"/>
      <c r="Q617" s="251"/>
      <c r="R617" s="104"/>
      <c r="S617" s="104"/>
      <c r="T617" s="104">
        <v>3000</v>
      </c>
      <c r="U617" s="104"/>
      <c r="V617" s="104"/>
      <c r="W617" s="119" t="s">
        <v>1329</v>
      </c>
      <c r="X617" s="120" t="s">
        <v>19</v>
      </c>
      <c r="Y617" s="88">
        <v>41275</v>
      </c>
      <c r="Z617" s="306"/>
      <c r="AA617" s="17" t="s">
        <v>1311</v>
      </c>
      <c r="AB617" s="26" t="s">
        <v>1279</v>
      </c>
      <c r="AC617" s="117" t="s">
        <v>10</v>
      </c>
      <c r="AD61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61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61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61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3000</v>
      </c>
      <c r="AH617"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617"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617" s="10">
        <f t="shared" si="48"/>
        <v>3000</v>
      </c>
      <c r="AK617" s="10">
        <f t="shared" si="50"/>
        <v>0</v>
      </c>
      <c r="AL617" s="10">
        <f t="shared" si="49"/>
        <v>3000</v>
      </c>
      <c r="AM617" s="6"/>
    </row>
    <row r="618" spans="1:39" ht="31.5" customHeight="1">
      <c r="A618" s="25" t="s">
        <v>735</v>
      </c>
      <c r="B618" s="25" t="s">
        <v>773</v>
      </c>
      <c r="C618" s="18" t="s">
        <v>927</v>
      </c>
      <c r="D618" s="26" t="s">
        <v>1006</v>
      </c>
      <c r="E618" s="27"/>
      <c r="F618" s="26"/>
      <c r="G618" s="28"/>
      <c r="H618" s="64" t="s">
        <v>6</v>
      </c>
      <c r="I618" s="1" t="s">
        <v>7</v>
      </c>
      <c r="J618" s="1" t="s">
        <v>10</v>
      </c>
      <c r="K618" s="1" t="s">
        <v>7</v>
      </c>
      <c r="L618" s="1" t="s">
        <v>444</v>
      </c>
      <c r="M618" s="86">
        <v>2016</v>
      </c>
      <c r="N618" s="86">
        <v>2016</v>
      </c>
      <c r="O618" s="104">
        <v>240</v>
      </c>
      <c r="P618" s="29"/>
      <c r="Q618" s="251"/>
      <c r="R618" s="104"/>
      <c r="S618" s="104"/>
      <c r="T618" s="104">
        <v>240</v>
      </c>
      <c r="U618" s="104"/>
      <c r="V618" s="104"/>
      <c r="W618" s="119" t="s">
        <v>1329</v>
      </c>
      <c r="X618" s="120" t="s">
        <v>19</v>
      </c>
      <c r="Y618" s="88">
        <v>41275</v>
      </c>
      <c r="Z618" s="306"/>
      <c r="AA618" s="17" t="s">
        <v>1311</v>
      </c>
      <c r="AB618" s="26" t="s">
        <v>1280</v>
      </c>
      <c r="AC618" s="117" t="s">
        <v>10</v>
      </c>
      <c r="AD61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0</v>
      </c>
      <c r="AE61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0</v>
      </c>
      <c r="AF61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0</v>
      </c>
      <c r="AG61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240</v>
      </c>
      <c r="AH618"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618"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618" s="32">
        <f t="shared" si="48"/>
        <v>240</v>
      </c>
      <c r="AK618" s="32">
        <f>+SUM(AH618:AI618)</f>
        <v>0</v>
      </c>
      <c r="AL618" s="32">
        <f t="shared" si="49"/>
        <v>240</v>
      </c>
      <c r="AM618" s="6"/>
    </row>
    <row r="619" spans="1:39" ht="31.5" customHeight="1">
      <c r="A619" s="25" t="s">
        <v>735</v>
      </c>
      <c r="B619" s="25" t="s">
        <v>739</v>
      </c>
      <c r="C619" s="18" t="s">
        <v>740</v>
      </c>
      <c r="D619" s="26" t="s">
        <v>741</v>
      </c>
      <c r="E619" s="27"/>
      <c r="F619" s="26"/>
      <c r="G619" s="28" t="s">
        <v>742</v>
      </c>
      <c r="H619" s="64" t="s">
        <v>26</v>
      </c>
      <c r="I619" s="66" t="s">
        <v>7</v>
      </c>
      <c r="J619" s="51" t="s">
        <v>10</v>
      </c>
      <c r="K619" s="109" t="s">
        <v>7</v>
      </c>
      <c r="L619" s="51" t="s">
        <v>1000</v>
      </c>
      <c r="M619" s="86">
        <v>2010</v>
      </c>
      <c r="N619" s="86">
        <v>2015</v>
      </c>
      <c r="O619" s="104">
        <v>1184.0889780855409</v>
      </c>
      <c r="P619" s="29"/>
      <c r="Q619" s="251">
        <v>244.74641453591667</v>
      </c>
      <c r="R619" s="104">
        <v>230.69105244915619</v>
      </c>
      <c r="S619" s="104">
        <v>188.84168661448729</v>
      </c>
      <c r="T619" s="104"/>
      <c r="U619" s="104"/>
      <c r="V619" s="104"/>
      <c r="W619" s="119" t="s">
        <v>1329</v>
      </c>
      <c r="X619" s="120" t="s">
        <v>19</v>
      </c>
      <c r="Y619" s="88" t="s">
        <v>189</v>
      </c>
      <c r="Z619" s="292" t="s">
        <v>1031</v>
      </c>
      <c r="AA619" s="17" t="s">
        <v>1281</v>
      </c>
      <c r="AB619" s="26" t="s">
        <v>743</v>
      </c>
      <c r="AC619" s="117" t="s">
        <v>10</v>
      </c>
      <c r="AD61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276.20007960086298</v>
      </c>
      <c r="AE61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260.33838808418295</v>
      </c>
      <c r="AF61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213.11073738826266</v>
      </c>
      <c r="AG61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619"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619"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619" s="10">
        <f t="shared" si="48"/>
        <v>749.64920507330862</v>
      </c>
      <c r="AK619" s="10">
        <f t="shared" si="50"/>
        <v>0</v>
      </c>
      <c r="AL619" s="10">
        <f t="shared" si="49"/>
        <v>473.44912547244564</v>
      </c>
      <c r="AM619" s="6"/>
    </row>
    <row r="620" spans="1:39" ht="31.5" customHeight="1">
      <c r="A620" s="25" t="s">
        <v>735</v>
      </c>
      <c r="B620" s="25" t="s">
        <v>739</v>
      </c>
      <c r="C620" s="18" t="s">
        <v>740</v>
      </c>
      <c r="D620" s="26" t="s">
        <v>744</v>
      </c>
      <c r="E620" s="27"/>
      <c r="F620" s="26"/>
      <c r="G620" s="28" t="s">
        <v>745</v>
      </c>
      <c r="H620" s="64" t="s">
        <v>26</v>
      </c>
      <c r="I620" s="66" t="s">
        <v>7</v>
      </c>
      <c r="J620" s="51" t="s">
        <v>10</v>
      </c>
      <c r="K620" s="109" t="s">
        <v>7</v>
      </c>
      <c r="L620" s="51" t="s">
        <v>1000</v>
      </c>
      <c r="M620" s="86">
        <v>2010</v>
      </c>
      <c r="N620" s="86">
        <v>2015</v>
      </c>
      <c r="O620" s="104">
        <v>937.55983911746011</v>
      </c>
      <c r="P620" s="29"/>
      <c r="Q620" s="251">
        <v>195.21229226018264</v>
      </c>
      <c r="R620" s="104">
        <v>185.9695127924283</v>
      </c>
      <c r="S620" s="104">
        <v>156.16175836873501</v>
      </c>
      <c r="T620" s="104"/>
      <c r="U620" s="104"/>
      <c r="V620" s="104"/>
      <c r="W620" s="119" t="s">
        <v>1329</v>
      </c>
      <c r="X620" s="120" t="s">
        <v>19</v>
      </c>
      <c r="Y620" s="88" t="s">
        <v>189</v>
      </c>
      <c r="Z620" s="292" t="s">
        <v>1031</v>
      </c>
      <c r="AA620" s="17" t="s">
        <v>1281</v>
      </c>
      <c r="AB620" s="26" t="s">
        <v>743</v>
      </c>
      <c r="AC620" s="117" t="s">
        <v>10</v>
      </c>
      <c r="AD62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220.30006349047829</v>
      </c>
      <c r="AE62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209.86944521332134</v>
      </c>
      <c r="AF62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176.23093753524918</v>
      </c>
      <c r="AG62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620"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620"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620" s="32">
        <f t="shared" si="48"/>
        <v>606.40044623904885</v>
      </c>
      <c r="AK620" s="32">
        <f t="shared" si="50"/>
        <v>0</v>
      </c>
      <c r="AL620" s="32">
        <f t="shared" si="49"/>
        <v>386.10038274857055</v>
      </c>
      <c r="AM620" s="6"/>
    </row>
    <row r="621" spans="1:39" ht="31.5" customHeight="1">
      <c r="A621" s="25" t="s">
        <v>735</v>
      </c>
      <c r="B621" s="25" t="s">
        <v>739</v>
      </c>
      <c r="C621" s="18" t="s">
        <v>746</v>
      </c>
      <c r="D621" s="26" t="s">
        <v>747</v>
      </c>
      <c r="E621" s="27"/>
      <c r="F621" s="26"/>
      <c r="G621" s="28" t="s">
        <v>742</v>
      </c>
      <c r="H621" s="64" t="s">
        <v>22</v>
      </c>
      <c r="I621" s="66" t="s">
        <v>7</v>
      </c>
      <c r="J621" s="51" t="s">
        <v>10</v>
      </c>
      <c r="K621" s="109" t="s">
        <v>7</v>
      </c>
      <c r="L621" s="51" t="s">
        <v>1000</v>
      </c>
      <c r="M621" s="86">
        <v>2010</v>
      </c>
      <c r="N621" s="86">
        <v>2015</v>
      </c>
      <c r="O621" s="104">
        <v>508.88797494223104</v>
      </c>
      <c r="P621" s="29"/>
      <c r="Q621" s="251">
        <v>86.39672489953611</v>
      </c>
      <c r="R621" s="104">
        <v>99.144493944999965</v>
      </c>
      <c r="S621" s="104">
        <v>81.158819366173887</v>
      </c>
      <c r="T621" s="104"/>
      <c r="U621" s="104"/>
      <c r="V621" s="104"/>
      <c r="W621" s="119" t="s">
        <v>1329</v>
      </c>
      <c r="X621" s="120" t="s">
        <v>19</v>
      </c>
      <c r="Y621" s="88" t="s">
        <v>189</v>
      </c>
      <c r="Z621" s="292" t="s">
        <v>1031</v>
      </c>
      <c r="AA621" s="17" t="s">
        <v>1281</v>
      </c>
      <c r="AB621" s="26" t="s">
        <v>743</v>
      </c>
      <c r="AC621" s="117" t="s">
        <v>10</v>
      </c>
      <c r="AD62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97.5000280995081</v>
      </c>
      <c r="AE62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111.88608082991013</v>
      </c>
      <c r="AF62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91.588971432959298</v>
      </c>
      <c r="AG62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621"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621"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621" s="32">
        <f t="shared" si="48"/>
        <v>300.97508036237753</v>
      </c>
      <c r="AK621" s="32">
        <f t="shared" si="50"/>
        <v>0</v>
      </c>
      <c r="AL621" s="32">
        <f t="shared" si="49"/>
        <v>203.47505226286944</v>
      </c>
      <c r="AM621" s="6"/>
    </row>
    <row r="622" spans="1:39" ht="31.5" customHeight="1">
      <c r="A622" s="25" t="s">
        <v>735</v>
      </c>
      <c r="B622" s="25" t="s">
        <v>739</v>
      </c>
      <c r="C622" s="18" t="s">
        <v>746</v>
      </c>
      <c r="D622" s="26" t="s">
        <v>748</v>
      </c>
      <c r="E622" s="27"/>
      <c r="F622" s="26"/>
      <c r="G622" s="28" t="s">
        <v>745</v>
      </c>
      <c r="H622" s="64" t="s">
        <v>22</v>
      </c>
      <c r="I622" s="66" t="s">
        <v>7</v>
      </c>
      <c r="J622" s="51" t="s">
        <v>10</v>
      </c>
      <c r="K622" s="109" t="s">
        <v>7</v>
      </c>
      <c r="L622" s="51" t="s">
        <v>1000</v>
      </c>
      <c r="M622" s="86">
        <v>2010</v>
      </c>
      <c r="N622" s="86">
        <v>2015</v>
      </c>
      <c r="O622" s="104">
        <v>708.52218051301475</v>
      </c>
      <c r="P622" s="29"/>
      <c r="Q622" s="251">
        <v>119.98068257843272</v>
      </c>
      <c r="R622" s="104">
        <v>132.94778932854607</v>
      </c>
      <c r="S622" s="104">
        <v>118.01280828785676</v>
      </c>
      <c r="T622" s="104"/>
      <c r="U622" s="104"/>
      <c r="V622" s="104"/>
      <c r="W622" s="119" t="s">
        <v>1329</v>
      </c>
      <c r="X622" s="120" t="s">
        <v>19</v>
      </c>
      <c r="Y622" s="88" t="s">
        <v>189</v>
      </c>
      <c r="Z622" s="292" t="s">
        <v>1031</v>
      </c>
      <c r="AA622" s="17" t="s">
        <v>1281</v>
      </c>
      <c r="AB622" s="26" t="s">
        <v>743</v>
      </c>
      <c r="AC622" s="117" t="s">
        <v>10</v>
      </c>
      <c r="AD62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135.40003902229125</v>
      </c>
      <c r="AE62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150.03361771379278</v>
      </c>
      <c r="AF62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133.17926272723417</v>
      </c>
      <c r="AG62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622"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622"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622" s="32">
        <f t="shared" si="48"/>
        <v>418.61291946331818</v>
      </c>
      <c r="AK622" s="32">
        <f t="shared" si="50"/>
        <v>0</v>
      </c>
      <c r="AL622" s="32">
        <f t="shared" si="49"/>
        <v>283.21288044102693</v>
      </c>
      <c r="AM622" s="6"/>
    </row>
    <row r="623" spans="1:39" ht="31.5" customHeight="1">
      <c r="A623" s="25" t="s">
        <v>735</v>
      </c>
      <c r="B623" s="25" t="s">
        <v>739</v>
      </c>
      <c r="C623" s="18" t="s">
        <v>749</v>
      </c>
      <c r="D623" s="26" t="s">
        <v>750</v>
      </c>
      <c r="E623" s="27"/>
      <c r="F623" s="26"/>
      <c r="G623" s="28" t="s">
        <v>742</v>
      </c>
      <c r="H623" s="64" t="s">
        <v>18</v>
      </c>
      <c r="I623" s="66" t="s">
        <v>7</v>
      </c>
      <c r="J623" s="51" t="s">
        <v>10</v>
      </c>
      <c r="K623" s="109" t="s">
        <v>7</v>
      </c>
      <c r="L623" s="51" t="s">
        <v>1000</v>
      </c>
      <c r="M623" s="86">
        <v>2010</v>
      </c>
      <c r="N623" s="86">
        <v>2015</v>
      </c>
      <c r="O623" s="104">
        <v>1351.2101915587036</v>
      </c>
      <c r="P623" s="29"/>
      <c r="Q623" s="251">
        <v>267.43109307364102</v>
      </c>
      <c r="R623" s="104">
        <v>263.25057233003361</v>
      </c>
      <c r="S623" s="104">
        <v>215.49462605182396</v>
      </c>
      <c r="T623" s="104"/>
      <c r="U623" s="104"/>
      <c r="V623" s="104"/>
      <c r="W623" s="119" t="s">
        <v>1329</v>
      </c>
      <c r="X623" s="120" t="s">
        <v>19</v>
      </c>
      <c r="Y623" s="88" t="s">
        <v>189</v>
      </c>
      <c r="Z623" s="292" t="s">
        <v>1031</v>
      </c>
      <c r="AA623" s="17" t="s">
        <v>1281</v>
      </c>
      <c r="AB623" s="26" t="s">
        <v>743</v>
      </c>
      <c r="AC623" s="117" t="s">
        <v>10</v>
      </c>
      <c r="AD62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301.80008697878509</v>
      </c>
      <c r="AE62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297.08230525214827</v>
      </c>
      <c r="AF62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243.18898800594044</v>
      </c>
      <c r="AG62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623"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623"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623" s="10">
        <f t="shared" si="48"/>
        <v>842.07138023687389</v>
      </c>
      <c r="AK623" s="10">
        <f t="shared" si="50"/>
        <v>0</v>
      </c>
      <c r="AL623" s="10">
        <f t="shared" si="49"/>
        <v>540.2712932580888</v>
      </c>
      <c r="AM623" s="6"/>
    </row>
    <row r="624" spans="1:39" ht="31.5" customHeight="1">
      <c r="A624" s="25" t="s">
        <v>735</v>
      </c>
      <c r="B624" s="25" t="s">
        <v>739</v>
      </c>
      <c r="C624" s="18" t="s">
        <v>749</v>
      </c>
      <c r="D624" s="26" t="s">
        <v>751</v>
      </c>
      <c r="E624" s="27"/>
      <c r="F624" s="26"/>
      <c r="G624" s="28" t="s">
        <v>745</v>
      </c>
      <c r="H624" s="64" t="s">
        <v>18</v>
      </c>
      <c r="I624" s="66" t="s">
        <v>7</v>
      </c>
      <c r="J624" s="51" t="s">
        <v>10</v>
      </c>
      <c r="K624" s="109" t="s">
        <v>7</v>
      </c>
      <c r="L624" s="51" t="s">
        <v>1000</v>
      </c>
      <c r="M624" s="86">
        <v>2010</v>
      </c>
      <c r="N624" s="86">
        <v>2015</v>
      </c>
      <c r="O624" s="104">
        <v>1100.380782562167</v>
      </c>
      <c r="P624" s="29"/>
      <c r="Q624" s="251">
        <v>254.05067721740517</v>
      </c>
      <c r="R624" s="104">
        <v>218.26583166346532</v>
      </c>
      <c r="S624" s="104">
        <v>183.28152584034095</v>
      </c>
      <c r="T624" s="104"/>
      <c r="U624" s="104"/>
      <c r="V624" s="104"/>
      <c r="W624" s="119" t="s">
        <v>1329</v>
      </c>
      <c r="X624" s="120" t="s">
        <v>19</v>
      </c>
      <c r="Y624" s="88" t="s">
        <v>189</v>
      </c>
      <c r="Z624" s="292" t="s">
        <v>1031</v>
      </c>
      <c r="AA624" s="17" t="s">
        <v>1281</v>
      </c>
      <c r="AB624" s="26" t="s">
        <v>743</v>
      </c>
      <c r="AC624" s="117" t="s">
        <v>10</v>
      </c>
      <c r="AD62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286.70008262696382</v>
      </c>
      <c r="AE62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246.31633600806362</v>
      </c>
      <c r="AF62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206.83601074385066</v>
      </c>
      <c r="AG62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624"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624"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624" s="10">
        <f t="shared" si="48"/>
        <v>739.85242937887813</v>
      </c>
      <c r="AK624" s="10">
        <f t="shared" si="50"/>
        <v>0</v>
      </c>
      <c r="AL624" s="10">
        <f t="shared" si="49"/>
        <v>453.15234675191431</v>
      </c>
      <c r="AM624" s="6"/>
    </row>
    <row r="625" spans="1:39" ht="31.5" customHeight="1">
      <c r="A625" s="25" t="s">
        <v>735</v>
      </c>
      <c r="B625" s="25" t="s">
        <v>739</v>
      </c>
      <c r="C625" s="18" t="s">
        <v>752</v>
      </c>
      <c r="D625" s="26" t="s">
        <v>753</v>
      </c>
      <c r="E625" s="27"/>
      <c r="F625" s="26"/>
      <c r="G625" s="28" t="s">
        <v>742</v>
      </c>
      <c r="H625" s="64" t="s">
        <v>16</v>
      </c>
      <c r="I625" s="66" t="s">
        <v>7</v>
      </c>
      <c r="J625" s="51" t="s">
        <v>10</v>
      </c>
      <c r="K625" s="109" t="s">
        <v>7</v>
      </c>
      <c r="L625" s="51" t="s">
        <v>1000</v>
      </c>
      <c r="M625" s="86">
        <v>2010</v>
      </c>
      <c r="N625" s="86">
        <v>2015</v>
      </c>
      <c r="O625" s="104">
        <v>377.84479811654353</v>
      </c>
      <c r="P625" s="29"/>
      <c r="Q625" s="251">
        <v>75.940505886053799</v>
      </c>
      <c r="R625" s="104">
        <v>73.613905503009732</v>
      </c>
      <c r="S625" s="104">
        <v>60.259701994864656</v>
      </c>
      <c r="T625" s="104"/>
      <c r="U625" s="104"/>
      <c r="V625" s="104"/>
      <c r="W625" s="119" t="s">
        <v>1329</v>
      </c>
      <c r="X625" s="120" t="s">
        <v>19</v>
      </c>
      <c r="Y625" s="88" t="s">
        <v>189</v>
      </c>
      <c r="Z625" s="292" t="s">
        <v>1031</v>
      </c>
      <c r="AA625" s="17" t="s">
        <v>1281</v>
      </c>
      <c r="AB625" s="26" t="s">
        <v>743</v>
      </c>
      <c r="AC625" s="117" t="s">
        <v>10</v>
      </c>
      <c r="AD62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85.700024698747129</v>
      </c>
      <c r="AE62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83.074420510777031</v>
      </c>
      <c r="AF62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68.003997195486676</v>
      </c>
      <c r="AG62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625"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625"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625" s="10">
        <f t="shared" si="48"/>
        <v>236.77844240501085</v>
      </c>
      <c r="AK625" s="10">
        <f t="shared" si="50"/>
        <v>0</v>
      </c>
      <c r="AL625" s="10">
        <f t="shared" si="49"/>
        <v>151.07841770626374</v>
      </c>
      <c r="AM625" s="6"/>
    </row>
    <row r="626" spans="1:39" ht="31.5" customHeight="1">
      <c r="A626" s="25" t="s">
        <v>735</v>
      </c>
      <c r="B626" s="25" t="s">
        <v>739</v>
      </c>
      <c r="C626" s="18" t="s">
        <v>752</v>
      </c>
      <c r="D626" s="26" t="s">
        <v>754</v>
      </c>
      <c r="E626" s="27"/>
      <c r="F626" s="26"/>
      <c r="G626" s="28" t="s">
        <v>745</v>
      </c>
      <c r="H626" s="64" t="s">
        <v>16</v>
      </c>
      <c r="I626" s="66" t="s">
        <v>7</v>
      </c>
      <c r="J626" s="51" t="s">
        <v>10</v>
      </c>
      <c r="K626" s="109" t="s">
        <v>7</v>
      </c>
      <c r="L626" s="51" t="s">
        <v>1000</v>
      </c>
      <c r="M626" s="86">
        <v>2010</v>
      </c>
      <c r="N626" s="86">
        <v>2015</v>
      </c>
      <c r="O626" s="104">
        <v>293.77771589864193</v>
      </c>
      <c r="P626" s="29"/>
      <c r="Q626" s="251">
        <v>43.242668462537047</v>
      </c>
      <c r="R626" s="104">
        <v>58.272225852133786</v>
      </c>
      <c r="S626" s="104">
        <v>48.932177734348343</v>
      </c>
      <c r="T626" s="104"/>
      <c r="U626" s="104"/>
      <c r="V626" s="104"/>
      <c r="W626" s="119" t="s">
        <v>1329</v>
      </c>
      <c r="X626" s="120" t="s">
        <v>19</v>
      </c>
      <c r="Y626" s="88" t="s">
        <v>189</v>
      </c>
      <c r="Z626" s="292" t="s">
        <v>1031</v>
      </c>
      <c r="AA626" s="17" t="s">
        <v>1281</v>
      </c>
      <c r="AB626" s="26" t="s">
        <v>743</v>
      </c>
      <c r="AC626" s="117" t="s">
        <v>10</v>
      </c>
      <c r="AD62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48.800014064164053</v>
      </c>
      <c r="AE62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65.761099909869756</v>
      </c>
      <c r="AF62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55.220712470487456</v>
      </c>
      <c r="AG62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626"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626"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626" s="10">
        <f t="shared" si="48"/>
        <v>169.78182644452127</v>
      </c>
      <c r="AK626" s="10">
        <f t="shared" si="50"/>
        <v>0</v>
      </c>
      <c r="AL626" s="10">
        <f t="shared" si="49"/>
        <v>120.98181238035721</v>
      </c>
      <c r="AM626" s="6"/>
    </row>
    <row r="627" spans="1:39" ht="31.5" customHeight="1">
      <c r="A627" s="25" t="s">
        <v>735</v>
      </c>
      <c r="B627" s="25" t="s">
        <v>739</v>
      </c>
      <c r="C627" s="18" t="s">
        <v>755</v>
      </c>
      <c r="D627" s="26" t="s">
        <v>756</v>
      </c>
      <c r="E627" s="27"/>
      <c r="F627" s="26"/>
      <c r="G627" s="28" t="s">
        <v>742</v>
      </c>
      <c r="H627" s="64" t="s">
        <v>25</v>
      </c>
      <c r="I627" s="66" t="s">
        <v>7</v>
      </c>
      <c r="J627" s="51" t="s">
        <v>10</v>
      </c>
      <c r="K627" s="109" t="s">
        <v>7</v>
      </c>
      <c r="L627" s="51" t="s">
        <v>1000</v>
      </c>
      <c r="M627" s="86">
        <v>2010</v>
      </c>
      <c r="N627" s="86">
        <v>2015</v>
      </c>
      <c r="O627" s="104">
        <v>1283.350842562917</v>
      </c>
      <c r="P627" s="29"/>
      <c r="Q627" s="251">
        <v>243.32862212730893</v>
      </c>
      <c r="R627" s="104">
        <v>250.02982209244323</v>
      </c>
      <c r="S627" s="104">
        <v>204.67223503721925</v>
      </c>
      <c r="T627" s="104"/>
      <c r="U627" s="104"/>
      <c r="V627" s="104"/>
      <c r="W627" s="119" t="s">
        <v>1329</v>
      </c>
      <c r="X627" s="120" t="s">
        <v>19</v>
      </c>
      <c r="Y627" s="88" t="s">
        <v>189</v>
      </c>
      <c r="Z627" s="292" t="s">
        <v>1031</v>
      </c>
      <c r="AA627" s="17" t="s">
        <v>1281</v>
      </c>
      <c r="AB627" s="26" t="s">
        <v>743</v>
      </c>
      <c r="AC627" s="117" t="s">
        <v>10</v>
      </c>
      <c r="AD62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274.60007913974283</v>
      </c>
      <c r="AE62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282.16248599788202</v>
      </c>
      <c r="AF62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230.97575389023976</v>
      </c>
      <c r="AG62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627"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627"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627" s="10">
        <f t="shared" si="48"/>
        <v>787.73831902786458</v>
      </c>
      <c r="AK627" s="10">
        <f t="shared" si="50"/>
        <v>0</v>
      </c>
      <c r="AL627" s="10">
        <f t="shared" si="49"/>
        <v>513.13823988812169</v>
      </c>
      <c r="AM627" s="6"/>
    </row>
    <row r="628" spans="1:39" ht="31.5" customHeight="1">
      <c r="A628" s="25" t="s">
        <v>735</v>
      </c>
      <c r="B628" s="25" t="s">
        <v>739</v>
      </c>
      <c r="C628" s="18" t="s">
        <v>755</v>
      </c>
      <c r="D628" s="26" t="s">
        <v>757</v>
      </c>
      <c r="E628" s="27"/>
      <c r="F628" s="26"/>
      <c r="G628" s="28" t="s">
        <v>745</v>
      </c>
      <c r="H628" s="64" t="s">
        <v>25</v>
      </c>
      <c r="I628" s="66" t="s">
        <v>7</v>
      </c>
      <c r="J628" s="51" t="s">
        <v>10</v>
      </c>
      <c r="K628" s="109" t="s">
        <v>7</v>
      </c>
      <c r="L628" s="51" t="s">
        <v>1000</v>
      </c>
      <c r="M628" s="86">
        <v>2010</v>
      </c>
      <c r="N628" s="86">
        <v>2015</v>
      </c>
      <c r="O628" s="104">
        <v>468.29411638453291</v>
      </c>
      <c r="P628" s="29"/>
      <c r="Q628" s="251">
        <v>93.397074917036988</v>
      </c>
      <c r="R628" s="104">
        <v>92.888394995214398</v>
      </c>
      <c r="S628" s="104">
        <v>77.999962879361149</v>
      </c>
      <c r="T628" s="104"/>
      <c r="U628" s="104"/>
      <c r="V628" s="104"/>
      <c r="W628" s="119" t="s">
        <v>1329</v>
      </c>
      <c r="X628" s="120" t="s">
        <v>19</v>
      </c>
      <c r="Y628" s="88" t="s">
        <v>189</v>
      </c>
      <c r="Z628" s="292" t="s">
        <v>1031</v>
      </c>
      <c r="AA628" s="17" t="s">
        <v>1281</v>
      </c>
      <c r="AB628" s="26" t="s">
        <v>743</v>
      </c>
      <c r="AC628" s="117" t="s">
        <v>10</v>
      </c>
      <c r="AD62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105.40003037628875</v>
      </c>
      <c r="AE62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104.82597728887104</v>
      </c>
      <c r="AF62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88.024153477363285</v>
      </c>
      <c r="AG62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628"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628"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628" s="10">
        <f t="shared" si="48"/>
        <v>298.2501611425231</v>
      </c>
      <c r="AK628" s="10">
        <f t="shared" si="50"/>
        <v>0</v>
      </c>
      <c r="AL628" s="10">
        <f t="shared" si="49"/>
        <v>192.85013076623434</v>
      </c>
      <c r="AM628" s="6"/>
    </row>
    <row r="629" spans="1:39" ht="31.5" customHeight="1">
      <c r="A629" s="25" t="s">
        <v>735</v>
      </c>
      <c r="B629" s="25" t="s">
        <v>739</v>
      </c>
      <c r="C629" s="18" t="s">
        <v>758</v>
      </c>
      <c r="D629" s="26" t="s">
        <v>759</v>
      </c>
      <c r="E629" s="27"/>
      <c r="F629" s="26"/>
      <c r="G629" s="28" t="s">
        <v>742</v>
      </c>
      <c r="H629" s="64" t="s">
        <v>24</v>
      </c>
      <c r="I629" s="66" t="s">
        <v>7</v>
      </c>
      <c r="J629" s="51" t="s">
        <v>10</v>
      </c>
      <c r="K629" s="109" t="s">
        <v>7</v>
      </c>
      <c r="L629" s="51" t="s">
        <v>1000</v>
      </c>
      <c r="M629" s="86">
        <v>2010</v>
      </c>
      <c r="N629" s="86">
        <v>2015</v>
      </c>
      <c r="O629" s="104">
        <v>3399.7709023469938</v>
      </c>
      <c r="P629" s="29"/>
      <c r="Q629" s="251">
        <v>638.0951958990355</v>
      </c>
      <c r="R629" s="104">
        <v>382.86872988519053</v>
      </c>
      <c r="S629" s="104">
        <v>340.64521402470882</v>
      </c>
      <c r="T629" s="104"/>
      <c r="U629" s="104"/>
      <c r="V629" s="104"/>
      <c r="W629" s="119" t="s">
        <v>1329</v>
      </c>
      <c r="X629" s="120" t="s">
        <v>19</v>
      </c>
      <c r="Y629" s="88" t="s">
        <v>189</v>
      </c>
      <c r="Z629" s="292" t="s">
        <v>1031</v>
      </c>
      <c r="AA629" s="17" t="s">
        <v>1281</v>
      </c>
      <c r="AB629" s="26" t="s">
        <v>743</v>
      </c>
      <c r="AC629" s="117" t="s">
        <v>10</v>
      </c>
      <c r="AD62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720.10020753287995</v>
      </c>
      <c r="AE62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432.0732292298905</v>
      </c>
      <c r="AF62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384.4233444959022</v>
      </c>
      <c r="AG62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629"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629"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629" s="10">
        <f t="shared" si="48"/>
        <v>1536.5967812586728</v>
      </c>
      <c r="AK629" s="10">
        <f t="shared" si="50"/>
        <v>0</v>
      </c>
      <c r="AL629" s="10">
        <f t="shared" si="49"/>
        <v>816.49657372579281</v>
      </c>
      <c r="AM629" s="6"/>
    </row>
    <row r="630" spans="1:39" ht="31.5" customHeight="1">
      <c r="A630" s="25" t="s">
        <v>735</v>
      </c>
      <c r="B630" s="25" t="s">
        <v>739</v>
      </c>
      <c r="C630" s="18" t="s">
        <v>758</v>
      </c>
      <c r="D630" s="26" t="s">
        <v>760</v>
      </c>
      <c r="E630" s="27"/>
      <c r="F630" s="26"/>
      <c r="G630" s="28" t="s">
        <v>745</v>
      </c>
      <c r="H630" s="64" t="s">
        <v>24</v>
      </c>
      <c r="I630" s="66" t="s">
        <v>7</v>
      </c>
      <c r="J630" s="51" t="s">
        <v>10</v>
      </c>
      <c r="K630" s="109" t="s">
        <v>7</v>
      </c>
      <c r="L630" s="51" t="s">
        <v>1000</v>
      </c>
      <c r="M630" s="86">
        <v>2010</v>
      </c>
      <c r="N630" s="86">
        <v>2015</v>
      </c>
      <c r="O630" s="104">
        <v>1512.8324961917674</v>
      </c>
      <c r="P630" s="29"/>
      <c r="Q630" s="251">
        <v>284.79905007908621</v>
      </c>
      <c r="R630" s="104">
        <v>300.07761693180731</v>
      </c>
      <c r="S630" s="104">
        <v>251.98027140865125</v>
      </c>
      <c r="T630" s="104"/>
      <c r="U630" s="104"/>
      <c r="V630" s="104"/>
      <c r="W630" s="119" t="s">
        <v>1329</v>
      </c>
      <c r="X630" s="120" t="s">
        <v>19</v>
      </c>
      <c r="Y630" s="88" t="s">
        <v>189</v>
      </c>
      <c r="Z630" s="292" t="s">
        <v>1031</v>
      </c>
      <c r="AA630" s="17" t="s">
        <v>1281</v>
      </c>
      <c r="AB630" s="26" t="s">
        <v>743</v>
      </c>
      <c r="AC630" s="117" t="s">
        <v>10</v>
      </c>
      <c r="AD63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321.40009262750669</v>
      </c>
      <c r="AE63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338.64218946847757</v>
      </c>
      <c r="AF63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284.363597942323</v>
      </c>
      <c r="AG63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630"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630"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630" s="10">
        <f t="shared" si="48"/>
        <v>944.40588003830726</v>
      </c>
      <c r="AK630" s="10">
        <f t="shared" si="50"/>
        <v>0</v>
      </c>
      <c r="AL630" s="10">
        <f t="shared" si="49"/>
        <v>623.00578741080062</v>
      </c>
      <c r="AM630" s="6"/>
    </row>
    <row r="631" spans="1:39" ht="31.5" customHeight="1">
      <c r="A631" s="25" t="s">
        <v>735</v>
      </c>
      <c r="B631" s="25" t="s">
        <v>739</v>
      </c>
      <c r="C631" s="18" t="s">
        <v>761</v>
      </c>
      <c r="D631" s="26" t="s">
        <v>762</v>
      </c>
      <c r="E631" s="27"/>
      <c r="F631" s="26"/>
      <c r="G631" s="28" t="s">
        <v>742</v>
      </c>
      <c r="H631" s="64" t="s">
        <v>21</v>
      </c>
      <c r="I631" s="66" t="s">
        <v>7</v>
      </c>
      <c r="J631" s="51" t="s">
        <v>10</v>
      </c>
      <c r="K631" s="109" t="s">
        <v>7</v>
      </c>
      <c r="L631" s="51" t="s">
        <v>1000</v>
      </c>
      <c r="M631" s="86">
        <v>2010</v>
      </c>
      <c r="N631" s="86">
        <v>2015</v>
      </c>
      <c r="O631" s="104">
        <v>2188.0616646867511</v>
      </c>
      <c r="P631" s="29"/>
      <c r="Q631" s="251">
        <v>451.56688214157543</v>
      </c>
      <c r="R631" s="104">
        <v>403.27364451522192</v>
      </c>
      <c r="S631" s="104">
        <v>320.67558522444176</v>
      </c>
      <c r="T631" s="104"/>
      <c r="U631" s="104"/>
      <c r="V631" s="104"/>
      <c r="W631" s="119" t="s">
        <v>1329</v>
      </c>
      <c r="X631" s="120" t="s">
        <v>19</v>
      </c>
      <c r="Y631" s="88" t="s">
        <v>189</v>
      </c>
      <c r="Z631" s="292" t="s">
        <v>1031</v>
      </c>
      <c r="AA631" s="17" t="s">
        <v>1281</v>
      </c>
      <c r="AB631" s="26" t="s">
        <v>743</v>
      </c>
      <c r="AC631" s="117" t="s">
        <v>10</v>
      </c>
      <c r="AD63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509.60014686676232</v>
      </c>
      <c r="AE63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455.10048810005634</v>
      </c>
      <c r="AF63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361.88731235548431</v>
      </c>
      <c r="AG63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631"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631"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631" s="32">
        <f t="shared" si="48"/>
        <v>1326.5879473223029</v>
      </c>
      <c r="AK631" s="32">
        <f t="shared" si="50"/>
        <v>0</v>
      </c>
      <c r="AL631" s="32">
        <f t="shared" si="49"/>
        <v>816.98780045554054</v>
      </c>
      <c r="AM631" s="6"/>
    </row>
    <row r="632" spans="1:39" ht="31.5" customHeight="1">
      <c r="A632" s="25" t="s">
        <v>735</v>
      </c>
      <c r="B632" s="25" t="s">
        <v>739</v>
      </c>
      <c r="C632" s="18" t="s">
        <v>761</v>
      </c>
      <c r="D632" s="26" t="s">
        <v>763</v>
      </c>
      <c r="E632" s="27"/>
      <c r="F632" s="26"/>
      <c r="G632" s="28" t="s">
        <v>745</v>
      </c>
      <c r="H632" s="64" t="s">
        <v>21</v>
      </c>
      <c r="I632" s="66" t="s">
        <v>7</v>
      </c>
      <c r="J632" s="51" t="s">
        <v>10</v>
      </c>
      <c r="K632" s="109" t="s">
        <v>7</v>
      </c>
      <c r="L632" s="51" t="s">
        <v>1000</v>
      </c>
      <c r="M632" s="86">
        <v>2010</v>
      </c>
      <c r="N632" s="86">
        <v>2015</v>
      </c>
      <c r="O632" s="104">
        <v>1384.2264493542464</v>
      </c>
      <c r="P632" s="29"/>
      <c r="Q632" s="251">
        <v>266.45636079272316</v>
      </c>
      <c r="R632" s="104">
        <v>274.56798770638397</v>
      </c>
      <c r="S632" s="104">
        <v>230.55940249653577</v>
      </c>
      <c r="T632" s="104"/>
      <c r="U632" s="104"/>
      <c r="V632" s="104"/>
      <c r="W632" s="119" t="s">
        <v>1329</v>
      </c>
      <c r="X632" s="120" t="s">
        <v>19</v>
      </c>
      <c r="Y632" s="88" t="s">
        <v>189</v>
      </c>
      <c r="Z632" s="292" t="s">
        <v>1031</v>
      </c>
      <c r="AA632" s="17" t="s">
        <v>1281</v>
      </c>
      <c r="AB632" s="26" t="s">
        <v>743</v>
      </c>
      <c r="AC632" s="117" t="s">
        <v>10</v>
      </c>
      <c r="AD63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300.700086661765</v>
      </c>
      <c r="AE63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309.85418194644518</v>
      </c>
      <c r="AF63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260.18981909508392</v>
      </c>
      <c r="AG63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632"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632"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632" s="32">
        <f t="shared" si="48"/>
        <v>870.7440877032941</v>
      </c>
      <c r="AK632" s="32">
        <f t="shared" si="50"/>
        <v>0</v>
      </c>
      <c r="AL632" s="32">
        <f t="shared" si="49"/>
        <v>570.0440010415291</v>
      </c>
      <c r="AM632" s="6"/>
    </row>
    <row r="633" spans="1:39" ht="31.5" customHeight="1">
      <c r="A633" s="25" t="s">
        <v>735</v>
      </c>
      <c r="B633" s="25" t="s">
        <v>739</v>
      </c>
      <c r="C633" s="18" t="s">
        <v>764</v>
      </c>
      <c r="D633" s="26" t="s">
        <v>765</v>
      </c>
      <c r="E633" s="27"/>
      <c r="F633" s="26"/>
      <c r="G633" s="28" t="s">
        <v>742</v>
      </c>
      <c r="H633" s="64" t="s">
        <v>23</v>
      </c>
      <c r="I633" s="66" t="s">
        <v>7</v>
      </c>
      <c r="J633" s="51" t="s">
        <v>10</v>
      </c>
      <c r="K633" s="109" t="s">
        <v>7</v>
      </c>
      <c r="L633" s="51" t="s">
        <v>1000</v>
      </c>
      <c r="M633" s="86">
        <v>2010</v>
      </c>
      <c r="N633" s="86">
        <v>2015</v>
      </c>
      <c r="O633" s="104">
        <v>567.4133467350473</v>
      </c>
      <c r="P633" s="29"/>
      <c r="Q633" s="251">
        <v>158.50298844056127</v>
      </c>
      <c r="R633" s="104">
        <v>110.54674484314791</v>
      </c>
      <c r="S633" s="104">
        <v>90.492602657497571</v>
      </c>
      <c r="T633" s="104"/>
      <c r="U633" s="104"/>
      <c r="V633" s="104"/>
      <c r="W633" s="119" t="s">
        <v>1329</v>
      </c>
      <c r="X633" s="120" t="s">
        <v>19</v>
      </c>
      <c r="Y633" s="88" t="s">
        <v>189</v>
      </c>
      <c r="Z633" s="292" t="s">
        <v>1031</v>
      </c>
      <c r="AA633" s="17" t="s">
        <v>1281</v>
      </c>
      <c r="AB633" s="26" t="s">
        <v>743</v>
      </c>
      <c r="AC633" s="117" t="s">
        <v>10</v>
      </c>
      <c r="AD63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178.87305155121348</v>
      </c>
      <c r="AE63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124.75369571068016</v>
      </c>
      <c r="AF63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102.12228891966954</v>
      </c>
      <c r="AG63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633"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633"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633" s="32">
        <f t="shared" si="48"/>
        <v>405.74903618156316</v>
      </c>
      <c r="AK633" s="32">
        <f t="shared" si="50"/>
        <v>0</v>
      </c>
      <c r="AL633" s="32">
        <f t="shared" si="49"/>
        <v>226.87598463034968</v>
      </c>
      <c r="AM633" s="6"/>
    </row>
    <row r="634" spans="1:39" ht="31.5" customHeight="1">
      <c r="A634" s="25" t="s">
        <v>735</v>
      </c>
      <c r="B634" s="25" t="s">
        <v>739</v>
      </c>
      <c r="C634" s="18" t="s">
        <v>764</v>
      </c>
      <c r="D634" s="26" t="s">
        <v>766</v>
      </c>
      <c r="E634" s="27"/>
      <c r="F634" s="26"/>
      <c r="G634" s="28" t="s">
        <v>745</v>
      </c>
      <c r="H634" s="64" t="s">
        <v>23</v>
      </c>
      <c r="I634" s="66" t="s">
        <v>7</v>
      </c>
      <c r="J634" s="51" t="s">
        <v>10</v>
      </c>
      <c r="K634" s="109" t="s">
        <v>7</v>
      </c>
      <c r="L634" s="51" t="s">
        <v>1000</v>
      </c>
      <c r="M634" s="86">
        <v>2010</v>
      </c>
      <c r="N634" s="86">
        <v>2015</v>
      </c>
      <c r="O634" s="104">
        <v>536.42119068276725</v>
      </c>
      <c r="P634" s="29"/>
      <c r="Q634" s="251">
        <v>141.3787145053455</v>
      </c>
      <c r="R634" s="104">
        <v>106.40172853042881</v>
      </c>
      <c r="S634" s="104">
        <v>89.347338557210392</v>
      </c>
      <c r="T634" s="104"/>
      <c r="U634" s="104"/>
      <c r="V634" s="104"/>
      <c r="W634" s="119" t="s">
        <v>1329</v>
      </c>
      <c r="X634" s="120" t="s">
        <v>19</v>
      </c>
      <c r="Y634" s="88" t="s">
        <v>189</v>
      </c>
      <c r="Z634" s="292" t="s">
        <v>1031</v>
      </c>
      <c r="AA634" s="17" t="s">
        <v>1281</v>
      </c>
      <c r="AB634" s="26" t="s">
        <v>743</v>
      </c>
      <c r="AC634" s="117" t="s">
        <v>10</v>
      </c>
      <c r="AD63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159.54804598174684</v>
      </c>
      <c r="AE63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120.07598127841467</v>
      </c>
      <c r="AF63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100.82984083105042</v>
      </c>
      <c r="AG63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634"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634"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634" s="32">
        <f t="shared" si="48"/>
        <v>380.45386809121192</v>
      </c>
      <c r="AK634" s="32">
        <f t="shared" si="50"/>
        <v>0</v>
      </c>
      <c r="AL634" s="32">
        <f t="shared" si="49"/>
        <v>220.90582210946508</v>
      </c>
      <c r="AM634" s="6"/>
    </row>
    <row r="635" spans="1:39" ht="31.5" customHeight="1">
      <c r="A635" s="25" t="s">
        <v>735</v>
      </c>
      <c r="B635" s="25" t="s">
        <v>739</v>
      </c>
      <c r="C635" s="18" t="s">
        <v>767</v>
      </c>
      <c r="D635" s="26" t="s">
        <v>768</v>
      </c>
      <c r="E635" s="27"/>
      <c r="F635" s="26"/>
      <c r="G635" s="28" t="s">
        <v>742</v>
      </c>
      <c r="H635" s="64" t="s">
        <v>16</v>
      </c>
      <c r="I635" s="66" t="s">
        <v>7</v>
      </c>
      <c r="J635" s="51" t="s">
        <v>10</v>
      </c>
      <c r="K635" s="109" t="s">
        <v>7</v>
      </c>
      <c r="L635" s="51" t="s">
        <v>1000</v>
      </c>
      <c r="M635" s="86">
        <v>2010</v>
      </c>
      <c r="N635" s="86">
        <v>2015</v>
      </c>
      <c r="O635" s="104">
        <v>530.86847206344714</v>
      </c>
      <c r="P635" s="29"/>
      <c r="Q635" s="251">
        <v>116.61342560798926</v>
      </c>
      <c r="R635" s="104">
        <v>103.42686132455906</v>
      </c>
      <c r="S635" s="104">
        <v>84.664328011061784</v>
      </c>
      <c r="T635" s="104"/>
      <c r="U635" s="104"/>
      <c r="V635" s="104"/>
      <c r="W635" s="119" t="s">
        <v>1329</v>
      </c>
      <c r="X635" s="120" t="s">
        <v>19</v>
      </c>
      <c r="Y635" s="88" t="s">
        <v>189</v>
      </c>
      <c r="Z635" s="292" t="s">
        <v>1031</v>
      </c>
      <c r="AA635" s="17" t="s">
        <v>1281</v>
      </c>
      <c r="AB635" s="26" t="s">
        <v>743</v>
      </c>
      <c r="AC635" s="117" t="s">
        <v>10</v>
      </c>
      <c r="AD63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131.60003792713096</v>
      </c>
      <c r="AE63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116.71879804604237</v>
      </c>
      <c r="AF63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95.544991661469993</v>
      </c>
      <c r="AG63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635"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635"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635" s="32">
        <f t="shared" si="48"/>
        <v>343.86382763464331</v>
      </c>
      <c r="AK635" s="32">
        <f t="shared" si="50"/>
        <v>0</v>
      </c>
      <c r="AL635" s="32">
        <f t="shared" si="49"/>
        <v>212.26378970751236</v>
      </c>
      <c r="AM635" s="6"/>
    </row>
    <row r="636" spans="1:39" ht="31.5" customHeight="1">
      <c r="A636" s="25" t="s">
        <v>735</v>
      </c>
      <c r="B636" s="25" t="s">
        <v>739</v>
      </c>
      <c r="C636" s="18" t="s">
        <v>767</v>
      </c>
      <c r="D636" s="26" t="s">
        <v>769</v>
      </c>
      <c r="E636" s="27"/>
      <c r="F636" s="26"/>
      <c r="G636" s="28" t="s">
        <v>745</v>
      </c>
      <c r="H636" s="64" t="s">
        <v>16</v>
      </c>
      <c r="I636" s="66" t="s">
        <v>7</v>
      </c>
      <c r="J636" s="51" t="s">
        <v>10</v>
      </c>
      <c r="K636" s="109" t="s">
        <v>7</v>
      </c>
      <c r="L636" s="51" t="s">
        <v>1000</v>
      </c>
      <c r="M636" s="86">
        <v>2010</v>
      </c>
      <c r="N636" s="86">
        <v>2015</v>
      </c>
      <c r="O636" s="104">
        <v>484.99015275237394</v>
      </c>
      <c r="P636" s="29"/>
      <c r="Q636" s="251">
        <v>80.636943239567046</v>
      </c>
      <c r="R636" s="104">
        <v>49.213134277706288</v>
      </c>
      <c r="S636" s="104">
        <v>33.497886600928268</v>
      </c>
      <c r="T636" s="104"/>
      <c r="U636" s="104"/>
      <c r="V636" s="104"/>
      <c r="W636" s="119" t="s">
        <v>1329</v>
      </c>
      <c r="X636" s="120" t="s">
        <v>19</v>
      </c>
      <c r="Y636" s="88" t="s">
        <v>189</v>
      </c>
      <c r="Z636" s="292" t="s">
        <v>1031</v>
      </c>
      <c r="AA636" s="17" t="s">
        <v>1281</v>
      </c>
      <c r="AB636" s="26" t="s">
        <v>743</v>
      </c>
      <c r="AC636" s="117" t="s">
        <v>10</v>
      </c>
      <c r="AD63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91.000026226207567</v>
      </c>
      <c r="AE63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55.537776235392826</v>
      </c>
      <c r="AF63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37.802878392236117</v>
      </c>
      <c r="AG63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636"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636"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636" s="32">
        <f t="shared" si="48"/>
        <v>184.34068085383652</v>
      </c>
      <c r="AK636" s="32">
        <f t="shared" si="50"/>
        <v>0</v>
      </c>
      <c r="AL636" s="32">
        <f t="shared" si="49"/>
        <v>93.34065462762895</v>
      </c>
      <c r="AM636" s="6"/>
    </row>
    <row r="637" spans="1:39" ht="31.5" customHeight="1">
      <c r="A637" s="25" t="s">
        <v>735</v>
      </c>
      <c r="B637" s="25" t="s">
        <v>739</v>
      </c>
      <c r="C637" s="18" t="s">
        <v>770</v>
      </c>
      <c r="D637" s="26" t="s">
        <v>771</v>
      </c>
      <c r="E637" s="27"/>
      <c r="F637" s="26"/>
      <c r="G637" s="28" t="s">
        <v>742</v>
      </c>
      <c r="H637" s="64" t="s">
        <v>14</v>
      </c>
      <c r="I637" s="66" t="s">
        <v>7</v>
      </c>
      <c r="J637" s="51" t="s">
        <v>10</v>
      </c>
      <c r="K637" s="109" t="s">
        <v>7</v>
      </c>
      <c r="L637" s="51" t="s">
        <v>1000</v>
      </c>
      <c r="M637" s="86">
        <v>2010</v>
      </c>
      <c r="N637" s="86">
        <v>2015</v>
      </c>
      <c r="O637" s="104">
        <v>1148.5787544273003</v>
      </c>
      <c r="P637" s="29"/>
      <c r="Q637" s="251">
        <v>225.07454486648382</v>
      </c>
      <c r="R637" s="104">
        <v>203.93074561577168</v>
      </c>
      <c r="S637" s="104">
        <v>169.40042088717519</v>
      </c>
      <c r="T637" s="104"/>
      <c r="U637" s="104"/>
      <c r="V637" s="104"/>
      <c r="W637" s="119" t="s">
        <v>1329</v>
      </c>
      <c r="X637" s="120" t="s">
        <v>19</v>
      </c>
      <c r="Y637" s="88" t="s">
        <v>189</v>
      </c>
      <c r="Z637" s="292" t="s">
        <v>1031</v>
      </c>
      <c r="AA637" s="17" t="s">
        <v>1281</v>
      </c>
      <c r="AB637" s="26" t="s">
        <v>743</v>
      </c>
      <c r="AC637" s="117" t="s">
        <v>10</v>
      </c>
      <c r="AD63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254.00007320282108</v>
      </c>
      <c r="AE63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230.13897171463421</v>
      </c>
      <c r="AF63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191.17097107296439</v>
      </c>
      <c r="AG63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637"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637"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637" s="32">
        <f t="shared" si="48"/>
        <v>675.31001599041974</v>
      </c>
      <c r="AK637" s="32">
        <f t="shared" si="50"/>
        <v>0</v>
      </c>
      <c r="AL637" s="32">
        <f t="shared" si="49"/>
        <v>421.30994278759863</v>
      </c>
      <c r="AM637" s="6"/>
    </row>
    <row r="638" spans="1:39" ht="31.5" customHeight="1">
      <c r="A638" s="25" t="s">
        <v>735</v>
      </c>
      <c r="B638" s="25" t="s">
        <v>739</v>
      </c>
      <c r="C638" s="18" t="s">
        <v>770</v>
      </c>
      <c r="D638" s="26" t="s">
        <v>772</v>
      </c>
      <c r="E638" s="27"/>
      <c r="F638" s="26"/>
      <c r="G638" s="28" t="s">
        <v>745</v>
      </c>
      <c r="H638" s="64" t="s">
        <v>14</v>
      </c>
      <c r="I638" s="66" t="s">
        <v>7</v>
      </c>
      <c r="J638" s="51" t="s">
        <v>10</v>
      </c>
      <c r="K638" s="109" t="s">
        <v>7</v>
      </c>
      <c r="L638" s="51" t="s">
        <v>1000</v>
      </c>
      <c r="M638" s="86">
        <v>2010</v>
      </c>
      <c r="N638" s="86">
        <v>2015</v>
      </c>
      <c r="O638" s="104">
        <v>726.51172186673693</v>
      </c>
      <c r="P638" s="29"/>
      <c r="Q638" s="251">
        <v>127.6013167746995</v>
      </c>
      <c r="R638" s="104">
        <v>144.10710155921942</v>
      </c>
      <c r="S638" s="104">
        <v>121.00918067160642</v>
      </c>
      <c r="T638" s="104"/>
      <c r="U638" s="104"/>
      <c r="V638" s="104"/>
      <c r="W638" s="119" t="s">
        <v>1329</v>
      </c>
      <c r="X638" s="120" t="s">
        <v>19</v>
      </c>
      <c r="Y638" s="88" t="s">
        <v>189</v>
      </c>
      <c r="Z638" s="292" t="s">
        <v>1031</v>
      </c>
      <c r="AA638" s="17" t="s">
        <v>1281</v>
      </c>
      <c r="AB638" s="26" t="s">
        <v>743</v>
      </c>
      <c r="AC638" s="117" t="s">
        <v>10</v>
      </c>
      <c r="AD638"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144.00004150081196</v>
      </c>
      <c r="AE638"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162.62707258522482</v>
      </c>
      <c r="AF638"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136.56071488241594</v>
      </c>
      <c r="AG638"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638"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638"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638" s="32">
        <f t="shared" si="48"/>
        <v>443.18782896845272</v>
      </c>
      <c r="AK638" s="32">
        <f t="shared" si="50"/>
        <v>0</v>
      </c>
      <c r="AL638" s="32">
        <f t="shared" si="49"/>
        <v>299.18778746764076</v>
      </c>
      <c r="AM638" s="6"/>
    </row>
    <row r="639" spans="1:39" ht="31.5" customHeight="1">
      <c r="A639" s="25" t="s">
        <v>735</v>
      </c>
      <c r="B639" s="25" t="s">
        <v>773</v>
      </c>
      <c r="C639" s="18" t="s">
        <v>773</v>
      </c>
      <c r="D639" s="26" t="s">
        <v>774</v>
      </c>
      <c r="E639" s="27"/>
      <c r="F639" s="26"/>
      <c r="G639" s="28" t="s">
        <v>745</v>
      </c>
      <c r="H639" s="64" t="s">
        <v>16</v>
      </c>
      <c r="I639" s="66" t="s">
        <v>7</v>
      </c>
      <c r="J639" s="51" t="s">
        <v>10</v>
      </c>
      <c r="K639" s="109" t="s">
        <v>7</v>
      </c>
      <c r="L639" s="51" t="s">
        <v>1000</v>
      </c>
      <c r="M639" s="86">
        <v>2010</v>
      </c>
      <c r="N639" s="86">
        <v>2015</v>
      </c>
      <c r="O639" s="104">
        <v>44.323183755580558</v>
      </c>
      <c r="P639" s="29"/>
      <c r="Q639" s="251">
        <v>8.2409183750326758</v>
      </c>
      <c r="R639" s="104">
        <v>8.7917171198305901</v>
      </c>
      <c r="S639" s="104">
        <v>7.3825541826614609</v>
      </c>
      <c r="T639" s="104"/>
      <c r="U639" s="104"/>
      <c r="V639" s="104"/>
      <c r="W639" s="119" t="s">
        <v>1329</v>
      </c>
      <c r="X639" s="120" t="s">
        <v>19</v>
      </c>
      <c r="Y639" s="88" t="s">
        <v>189</v>
      </c>
      <c r="Z639" s="292" t="s">
        <v>1031</v>
      </c>
      <c r="AA639" s="17" t="s">
        <v>1281</v>
      </c>
      <c r="AB639" s="26" t="s">
        <v>743</v>
      </c>
      <c r="AC639" s="117" t="s">
        <v>10</v>
      </c>
      <c r="AD639"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9.3000026802607731</v>
      </c>
      <c r="AE639"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9.9215875048871389</v>
      </c>
      <c r="AF639"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8.3313255345342174</v>
      </c>
      <c r="AG639"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639"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639"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639" s="32">
        <f t="shared" si="48"/>
        <v>27.552915719682126</v>
      </c>
      <c r="AK639" s="32">
        <f t="shared" si="50"/>
        <v>0</v>
      </c>
      <c r="AL639" s="32">
        <f t="shared" si="49"/>
        <v>18.252913039421351</v>
      </c>
      <c r="AM639" s="6"/>
    </row>
    <row r="640" spans="1:39" ht="31.5" customHeight="1">
      <c r="A640" s="25" t="s">
        <v>735</v>
      </c>
      <c r="B640" s="25" t="s">
        <v>773</v>
      </c>
      <c r="C640" s="18" t="s">
        <v>773</v>
      </c>
      <c r="D640" s="26" t="s">
        <v>775</v>
      </c>
      <c r="E640" s="27"/>
      <c r="F640" s="26"/>
      <c r="G640" s="28" t="s">
        <v>745</v>
      </c>
      <c r="H640" s="64" t="s">
        <v>16</v>
      </c>
      <c r="I640" s="66" t="s">
        <v>7</v>
      </c>
      <c r="J640" s="51" t="s">
        <v>10</v>
      </c>
      <c r="K640" s="109" t="s">
        <v>7</v>
      </c>
      <c r="L640" s="51" t="s">
        <v>1000</v>
      </c>
      <c r="M640" s="86">
        <v>2010</v>
      </c>
      <c r="N640" s="86">
        <v>2015</v>
      </c>
      <c r="O640" s="104">
        <v>244.30248779328213</v>
      </c>
      <c r="P640" s="29"/>
      <c r="Q640" s="251">
        <v>78.333030575579414</v>
      </c>
      <c r="R640" s="104">
        <v>48.458575904511292</v>
      </c>
      <c r="S640" s="104">
        <v>40.69148919984373</v>
      </c>
      <c r="T640" s="104"/>
      <c r="U640" s="104"/>
      <c r="V640" s="104"/>
      <c r="W640" s="119" t="s">
        <v>1329</v>
      </c>
      <c r="X640" s="120" t="s">
        <v>19</v>
      </c>
      <c r="Y640" s="88" t="s">
        <v>189</v>
      </c>
      <c r="Z640" s="292" t="s">
        <v>1031</v>
      </c>
      <c r="AA640" s="17" t="s">
        <v>1281</v>
      </c>
      <c r="AB640" s="26" t="s">
        <v>743</v>
      </c>
      <c r="AC640" s="117" t="s">
        <v>10</v>
      </c>
      <c r="AD640"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88.40002547688735</v>
      </c>
      <c r="AE640"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54.686245547455528</v>
      </c>
      <c r="AF640"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45.920969168784964</v>
      </c>
      <c r="AG640"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640"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640"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640" s="32">
        <f t="shared" si="48"/>
        <v>189.00724019312781</v>
      </c>
      <c r="AK640" s="32">
        <f t="shared" si="50"/>
        <v>0</v>
      </c>
      <c r="AL640" s="32">
        <f t="shared" si="49"/>
        <v>100.60721471624046</v>
      </c>
      <c r="AM640" s="6"/>
    </row>
    <row r="641" spans="1:51" ht="31.5" customHeight="1">
      <c r="A641" s="25" t="s">
        <v>735</v>
      </c>
      <c r="B641" s="25" t="s">
        <v>773</v>
      </c>
      <c r="C641" s="18" t="s">
        <v>773</v>
      </c>
      <c r="D641" s="26" t="s">
        <v>776</v>
      </c>
      <c r="E641" s="27"/>
      <c r="F641" s="26"/>
      <c r="G641" s="28" t="s">
        <v>745</v>
      </c>
      <c r="H641" s="64" t="s">
        <v>26</v>
      </c>
      <c r="I641" s="66" t="s">
        <v>7</v>
      </c>
      <c r="J641" s="51" t="s">
        <v>10</v>
      </c>
      <c r="K641" s="109" t="s">
        <v>7</v>
      </c>
      <c r="L641" s="51" t="s">
        <v>1000</v>
      </c>
      <c r="M641" s="86">
        <v>2010</v>
      </c>
      <c r="N641" s="86">
        <v>2015</v>
      </c>
      <c r="O641" s="104">
        <v>30.448590082377688</v>
      </c>
      <c r="P641" s="29"/>
      <c r="Q641" s="251">
        <v>6.7345139408869175</v>
      </c>
      <c r="R641" s="104">
        <v>6.0396245941660132</v>
      </c>
      <c r="S641" s="104">
        <v>5.0715753477546492</v>
      </c>
      <c r="T641" s="104"/>
      <c r="U641" s="104"/>
      <c r="V641" s="104"/>
      <c r="W641" s="119" t="s">
        <v>1329</v>
      </c>
      <c r="X641" s="120" t="s">
        <v>19</v>
      </c>
      <c r="Y641" s="88" t="s">
        <v>189</v>
      </c>
      <c r="Z641" s="292" t="s">
        <v>1031</v>
      </c>
      <c r="AA641" s="17" t="s">
        <v>1281</v>
      </c>
      <c r="AB641" s="26" t="s">
        <v>743</v>
      </c>
      <c r="AC641" s="117" t="s">
        <v>10</v>
      </c>
      <c r="AD641"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7.6000021903206312</v>
      </c>
      <c r="AE641"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6.815808913201387</v>
      </c>
      <c r="AF641"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5.7233505030409528</v>
      </c>
      <c r="AG641"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641"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641"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641" s="32">
        <f t="shared" si="48"/>
        <v>20.139161606562972</v>
      </c>
      <c r="AK641" s="32">
        <f t="shared" si="50"/>
        <v>0</v>
      </c>
      <c r="AL641" s="32">
        <f t="shared" si="49"/>
        <v>12.539159416242342</v>
      </c>
      <c r="AM641" s="6"/>
    </row>
    <row r="642" spans="1:51" ht="31.5" customHeight="1">
      <c r="A642" s="25" t="s">
        <v>735</v>
      </c>
      <c r="B642" s="25" t="s">
        <v>773</v>
      </c>
      <c r="C642" s="18" t="s">
        <v>773</v>
      </c>
      <c r="D642" s="26" t="s">
        <v>777</v>
      </c>
      <c r="E642" s="27"/>
      <c r="F642" s="26"/>
      <c r="G642" s="28" t="s">
        <v>745</v>
      </c>
      <c r="H642" s="64" t="s">
        <v>23</v>
      </c>
      <c r="I642" s="66" t="s">
        <v>7</v>
      </c>
      <c r="J642" s="51" t="s">
        <v>10</v>
      </c>
      <c r="K642" s="109" t="s">
        <v>7</v>
      </c>
      <c r="L642" s="51" t="s">
        <v>1000</v>
      </c>
      <c r="M642" s="86">
        <v>2010</v>
      </c>
      <c r="N642" s="86">
        <v>2015</v>
      </c>
      <c r="O642" s="104">
        <v>34.220127846941978</v>
      </c>
      <c r="P642" s="29"/>
      <c r="Q642" s="251">
        <v>12.405683575318006</v>
      </c>
      <c r="R642" s="104">
        <v>6.787727287231978</v>
      </c>
      <c r="S642" s="104">
        <v>5.6997698847805252</v>
      </c>
      <c r="T642" s="104"/>
      <c r="U642" s="104"/>
      <c r="V642" s="104"/>
      <c r="W642" s="119" t="s">
        <v>1329</v>
      </c>
      <c r="X642" s="120" t="s">
        <v>19</v>
      </c>
      <c r="Y642" s="88" t="s">
        <v>189</v>
      </c>
      <c r="Z642" s="292" t="s">
        <v>1031</v>
      </c>
      <c r="AA642" s="17" t="s">
        <v>1281</v>
      </c>
      <c r="AB642" s="26" t="s">
        <v>743</v>
      </c>
      <c r="AC642" s="117" t="s">
        <v>10</v>
      </c>
      <c r="AD642"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14.000004034801162</v>
      </c>
      <c r="AE642"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7.6600542671782357</v>
      </c>
      <c r="AF642"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6.4322776653055174</v>
      </c>
      <c r="AG642"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642" s="31">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642" s="31">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642" s="32">
        <f t="shared" ref="AJ642:AJ647" si="51">SUM(AD642:AG642)</f>
        <v>28.092335967284914</v>
      </c>
      <c r="AK642" s="32">
        <f t="shared" si="50"/>
        <v>0</v>
      </c>
      <c r="AL642" s="32">
        <f t="shared" ref="AL642:AL647" si="52">+AJ642+AK642-AD642</f>
        <v>14.092331932483752</v>
      </c>
      <c r="AM642" s="6"/>
    </row>
    <row r="643" spans="1:51" ht="31.5" customHeight="1">
      <c r="A643" s="25" t="s">
        <v>735</v>
      </c>
      <c r="B643" s="25" t="s">
        <v>773</v>
      </c>
      <c r="C643" s="18" t="s">
        <v>773</v>
      </c>
      <c r="D643" s="26" t="s">
        <v>778</v>
      </c>
      <c r="E643" s="27"/>
      <c r="F643" s="26"/>
      <c r="G643" s="28" t="s">
        <v>745</v>
      </c>
      <c r="H643" s="64" t="s">
        <v>25</v>
      </c>
      <c r="I643" s="66" t="s">
        <v>7</v>
      </c>
      <c r="J643" s="51" t="s">
        <v>10</v>
      </c>
      <c r="K643" s="109" t="s">
        <v>7</v>
      </c>
      <c r="L643" s="51" t="s">
        <v>1000</v>
      </c>
      <c r="M643" s="86">
        <v>2010</v>
      </c>
      <c r="N643" s="86">
        <v>2015</v>
      </c>
      <c r="O643" s="104">
        <v>38.939891105369412</v>
      </c>
      <c r="P643" s="29"/>
      <c r="Q643" s="251">
        <v>13.646251932849808</v>
      </c>
      <c r="R643" s="104">
        <v>7.7239150771138245</v>
      </c>
      <c r="S643" s="104">
        <v>6.4859026720103747</v>
      </c>
      <c r="T643" s="104"/>
      <c r="U643" s="104"/>
      <c r="V643" s="104"/>
      <c r="W643" s="119" t="s">
        <v>1329</v>
      </c>
      <c r="X643" s="120" t="s">
        <v>19</v>
      </c>
      <c r="Y643" s="88" t="s">
        <v>189</v>
      </c>
      <c r="Z643" s="292" t="s">
        <v>1031</v>
      </c>
      <c r="AA643" s="17" t="s">
        <v>1281</v>
      </c>
      <c r="AB643" s="26" t="s">
        <v>743</v>
      </c>
      <c r="AC643" s="117" t="s">
        <v>10</v>
      </c>
      <c r="AD643"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15.400004438281281</v>
      </c>
      <c r="AE643"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8.7165565353607022</v>
      </c>
      <c r="AF643"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7.3194405633665589</v>
      </c>
      <c r="AG643"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643"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643"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643" s="10">
        <f t="shared" si="51"/>
        <v>31.43600153700854</v>
      </c>
      <c r="AK643" s="10">
        <f t="shared" si="50"/>
        <v>0</v>
      </c>
      <c r="AL643" s="10">
        <f t="shared" si="52"/>
        <v>16.035997098727258</v>
      </c>
      <c r="AM643" s="6"/>
    </row>
    <row r="644" spans="1:51" ht="31.5" customHeight="1">
      <c r="A644" s="25" t="s">
        <v>735</v>
      </c>
      <c r="B644" s="25" t="s">
        <v>773</v>
      </c>
      <c r="C644" s="18" t="s">
        <v>773</v>
      </c>
      <c r="D644" s="26" t="s">
        <v>779</v>
      </c>
      <c r="E644" s="27"/>
      <c r="F644" s="26"/>
      <c r="G644" s="28" t="s">
        <v>745</v>
      </c>
      <c r="H644" s="64" t="s">
        <v>25</v>
      </c>
      <c r="I644" s="66" t="s">
        <v>7</v>
      </c>
      <c r="J644" s="51" t="s">
        <v>10</v>
      </c>
      <c r="K644" s="109" t="s">
        <v>7</v>
      </c>
      <c r="L644" s="51" t="s">
        <v>1000</v>
      </c>
      <c r="M644" s="86">
        <v>2010</v>
      </c>
      <c r="N644" s="86">
        <v>2015</v>
      </c>
      <c r="O644" s="104">
        <v>390.45912052819517</v>
      </c>
      <c r="P644" s="29"/>
      <c r="Q644" s="251">
        <v>83.561140082320577</v>
      </c>
      <c r="R644" s="104">
        <v>77.44944843023643</v>
      </c>
      <c r="S644" s="104">
        <v>65.035617236110838</v>
      </c>
      <c r="T644" s="104"/>
      <c r="U644" s="104"/>
      <c r="V644" s="104"/>
      <c r="W644" s="119" t="s">
        <v>1329</v>
      </c>
      <c r="X644" s="120" t="s">
        <v>19</v>
      </c>
      <c r="Y644" s="88" t="s">
        <v>189</v>
      </c>
      <c r="Z644" s="292" t="s">
        <v>1031</v>
      </c>
      <c r="AA644" s="17" t="s">
        <v>1281</v>
      </c>
      <c r="AB644" s="26" t="s">
        <v>743</v>
      </c>
      <c r="AC644" s="117" t="s">
        <v>10</v>
      </c>
      <c r="AD644"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94.30002717726785</v>
      </c>
      <c r="AE644"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87.402889484761019</v>
      </c>
      <c r="AF644"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73.393690737271299</v>
      </c>
      <c r="AG644"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644"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644"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644" s="10">
        <f t="shared" si="51"/>
        <v>255.09660739930018</v>
      </c>
      <c r="AK644" s="10">
        <f t="shared" si="50"/>
        <v>0</v>
      </c>
      <c r="AL644" s="10">
        <f t="shared" si="52"/>
        <v>160.79658022203233</v>
      </c>
      <c r="AM644" s="6"/>
    </row>
    <row r="645" spans="1:51" ht="31.5" customHeight="1">
      <c r="A645" s="25" t="s">
        <v>735</v>
      </c>
      <c r="B645" s="25" t="s">
        <v>773</v>
      </c>
      <c r="C645" s="18" t="s">
        <v>773</v>
      </c>
      <c r="D645" s="26" t="s">
        <v>780</v>
      </c>
      <c r="E645" s="27"/>
      <c r="F645" s="26"/>
      <c r="G645" s="28" t="s">
        <v>745</v>
      </c>
      <c r="H645" s="64" t="s">
        <v>18</v>
      </c>
      <c r="I645" s="66" t="s">
        <v>7</v>
      </c>
      <c r="J645" s="51" t="s">
        <v>10</v>
      </c>
      <c r="K645" s="109" t="s">
        <v>7</v>
      </c>
      <c r="L645" s="51" t="s">
        <v>1000</v>
      </c>
      <c r="M645" s="86">
        <v>2010</v>
      </c>
      <c r="N645" s="86">
        <v>2015</v>
      </c>
      <c r="O645" s="104">
        <v>135.10649561616975</v>
      </c>
      <c r="P645" s="29"/>
      <c r="Q645" s="251">
        <v>30.659760836143072</v>
      </c>
      <c r="R645" s="104">
        <v>26.799024570509168</v>
      </c>
      <c r="S645" s="104">
        <v>22.503596082271589</v>
      </c>
      <c r="T645" s="104"/>
      <c r="U645" s="104"/>
      <c r="V645" s="104"/>
      <c r="W645" s="119" t="s">
        <v>1329</v>
      </c>
      <c r="X645" s="120" t="s">
        <v>19</v>
      </c>
      <c r="Y645" s="88" t="s">
        <v>189</v>
      </c>
      <c r="Z645" s="292" t="s">
        <v>1031</v>
      </c>
      <c r="AA645" s="17" t="s">
        <v>1281</v>
      </c>
      <c r="AB645" s="26" t="s">
        <v>743</v>
      </c>
      <c r="AC645" s="117" t="s">
        <v>10</v>
      </c>
      <c r="AD645"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34.600009971722876</v>
      </c>
      <c r="AE645"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30.243109929252437</v>
      </c>
      <c r="AF645"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25.395653051811934</v>
      </c>
      <c r="AG645"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645"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645"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645" s="10">
        <f t="shared" si="51"/>
        <v>90.238772952787244</v>
      </c>
      <c r="AK645" s="10">
        <f t="shared" si="50"/>
        <v>0</v>
      </c>
      <c r="AL645" s="10">
        <f t="shared" si="52"/>
        <v>55.638762981064367</v>
      </c>
      <c r="AM645" s="6"/>
    </row>
    <row r="646" spans="1:51" ht="31.5" customHeight="1">
      <c r="A646" s="25" t="s">
        <v>735</v>
      </c>
      <c r="B646" s="25" t="s">
        <v>773</v>
      </c>
      <c r="C646" s="18" t="s">
        <v>773</v>
      </c>
      <c r="D646" s="26" t="s">
        <v>781</v>
      </c>
      <c r="E646" s="27"/>
      <c r="F646" s="26"/>
      <c r="G646" s="28" t="s">
        <v>745</v>
      </c>
      <c r="H646" s="64" t="s">
        <v>25</v>
      </c>
      <c r="I646" s="66" t="s">
        <v>7</v>
      </c>
      <c r="J646" s="51" t="s">
        <v>10</v>
      </c>
      <c r="K646" s="109" t="s">
        <v>7</v>
      </c>
      <c r="L646" s="51" t="s">
        <v>1000</v>
      </c>
      <c r="M646" s="86">
        <v>2010</v>
      </c>
      <c r="N646" s="86">
        <v>2015</v>
      </c>
      <c r="O646" s="104">
        <v>102.28259927917354</v>
      </c>
      <c r="P646" s="29"/>
      <c r="Q646" s="251">
        <v>19.140197516204925</v>
      </c>
      <c r="R646" s="104">
        <v>20.288246532612007</v>
      </c>
      <c r="S646" s="104">
        <v>17.036385185819963</v>
      </c>
      <c r="T646" s="104"/>
      <c r="U646" s="104"/>
      <c r="V646" s="104"/>
      <c r="W646" s="119" t="s">
        <v>1329</v>
      </c>
      <c r="X646" s="120" t="s">
        <v>19</v>
      </c>
      <c r="Y646" s="88" t="s">
        <v>189</v>
      </c>
      <c r="Z646" s="292" t="s">
        <v>1031</v>
      </c>
      <c r="AA646" s="17" t="s">
        <v>1281</v>
      </c>
      <c r="AB646" s="26" t="s">
        <v>743</v>
      </c>
      <c r="AC646" s="117" t="s">
        <v>10</v>
      </c>
      <c r="AD646"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21.600006225121795</v>
      </c>
      <c r="AE646"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22.895597134261735</v>
      </c>
      <c r="AF646"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19.22582176885745</v>
      </c>
      <c r="AG646"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646"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646"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646" s="10">
        <f t="shared" si="51"/>
        <v>63.72142512824098</v>
      </c>
      <c r="AK646" s="10">
        <f t="shared" si="50"/>
        <v>0</v>
      </c>
      <c r="AL646" s="10">
        <f t="shared" si="52"/>
        <v>42.121418903119185</v>
      </c>
      <c r="AM646" s="6"/>
    </row>
    <row r="647" spans="1:51" ht="31.5" customHeight="1">
      <c r="A647" s="25" t="s">
        <v>735</v>
      </c>
      <c r="B647" s="25" t="s">
        <v>773</v>
      </c>
      <c r="C647" s="18" t="s">
        <v>773</v>
      </c>
      <c r="D647" s="26" t="s">
        <v>782</v>
      </c>
      <c r="E647" s="27"/>
      <c r="F647" s="26"/>
      <c r="G647" s="28" t="s">
        <v>745</v>
      </c>
      <c r="H647" s="64" t="s">
        <v>25</v>
      </c>
      <c r="I647" s="66" t="s">
        <v>7</v>
      </c>
      <c r="J647" s="51" t="s">
        <v>10</v>
      </c>
      <c r="K647" s="109" t="s">
        <v>7</v>
      </c>
      <c r="L647" s="51" t="s">
        <v>1000</v>
      </c>
      <c r="M647" s="86">
        <v>2010</v>
      </c>
      <c r="N647" s="86">
        <v>2015</v>
      </c>
      <c r="O647" s="104">
        <v>365.88908971905227</v>
      </c>
      <c r="P647" s="29"/>
      <c r="Q647" s="251">
        <v>93.042626814885054</v>
      </c>
      <c r="R647" s="104">
        <v>72.575864400472113</v>
      </c>
      <c r="S647" s="104">
        <v>60.943185954133696</v>
      </c>
      <c r="T647" s="104"/>
      <c r="U647" s="104"/>
      <c r="V647" s="104"/>
      <c r="W647" s="119" t="s">
        <v>1329</v>
      </c>
      <c r="X647" s="120" t="s">
        <v>19</v>
      </c>
      <c r="Y647" s="88" t="s">
        <v>189</v>
      </c>
      <c r="Z647" s="292" t="s">
        <v>1031</v>
      </c>
      <c r="AA647" s="17" t="s">
        <v>1281</v>
      </c>
      <c r="AB647" s="26" t="s">
        <v>743</v>
      </c>
      <c r="AC647" s="117" t="s">
        <v>10</v>
      </c>
      <c r="AD647" s="30">
        <f>IF(_baseyear="2012/13",IF(NIP_Pipeline[[#This Row],[2012/13 (£m)]]&lt;&gt;0,IF(NIP_Pipeline[[#This Row],[Basis of costs]]="Nominal",NIP_Pipeline[[#This Row],[2012/13 (£m)]]*deflator[2012/13]/deflator[2012/13],IF(AND(NIP_Pipeline[[#This Row],[Basis of costs]]="Constant",MID(NIP_Pipeline[[#This Row],[Base Year]],5,1)="/"),NIP_Pipeline[[#This Row],[2012/13 (£m)]]*deflator[2012/13]/INDEX('Indexation data'!$B$2:$AE$2,MATCH(NIP_Pipeline[[#This Row],[Base Year]],'Indexation data'!$B$1:$AE$1,0)),NIP_Pipeline[[#This Row],[2012/13 (£m)]])),0),IF(_baseyear="2008/09",IF(NIP_Pipeline[[#This Row],[2012/13 (£m)]]&lt;&gt;0,IF(NIP_Pipeline[[#This Row],[Basis of costs]]="Nominal",NIP_Pipeline[[#This Row],[2012/13 (£m)]]*deflator[2008/09]/deflator[2012/13],IF(AND(NIP_Pipeline[[#This Row],[Basis of costs]]="Constant",MID(NIP_Pipeline[[#This Row],[Base Year]],5,1)="/"),NIP_Pipeline[[#This Row],[2012/13 (£m)]]*deflator[2008/09]/INDEX('Indexation data'!$B$2:$AE$2,MATCH(NIP_Pipeline[[#This Row],[Base Year]],'Indexation data'!$B$1:$AE$1,0)),NIP_Pipeline[[#This Row],[2012/13 (£m)]])),0),IF(_baseyear="2011/12",IF(NIP_Pipeline[[#This Row],[2012/13 (£m)]]&lt;&gt;0,IF(NIP_Pipeline[[#This Row],[Basis of costs]]="Nominal",NIP_Pipeline[[#This Row],[2012/13 (£m)]]*deflator[2011/12]/deflator[2012/13],IF(AND(NIP_Pipeline[[#This Row],[Basis of costs]]="Constant",MID(NIP_Pipeline[[#This Row],[Base Year]],5,1)="/"),NIP_Pipeline[[#This Row],[2012/13 (£m)]]*deflator[2011/12]/INDEX('Indexation data'!$B$2:$AE$2,MATCH(NIP_Pipeline[[#This Row],[Base Year]],'Indexation data'!$B$1:$AE$1,0)),NIP_Pipeline[[#This Row],[2012/13 (£m)]])),0),"Error")))</f>
        <v>105.00003026100875</v>
      </c>
      <c r="AE647" s="30">
        <f>IF(_baseyear="2012/13",IF(NIP_Pipeline[[#This Row],[2013/14 (£m)]]&lt;&gt;0,IF(NIP_Pipeline[[#This Row],[Basis of costs]]="Nominal",NIP_Pipeline[[#This Row],[2013/14 (£m)]]*deflator[2012/13]/deflator[2013/14],IF(AND(NIP_Pipeline[[#This Row],[Basis of costs]]="Constant",MID(NIP_Pipeline[[#This Row],[Base Year]],5,1)="/"),NIP_Pipeline[[#This Row],[2013/14 (£m)]]*deflator[2012/13]/INDEX('Indexation data'!$B$2:$AE$2,MATCH(NIP_Pipeline[[#This Row],[Base Year]],'Indexation data'!$B$1:$AE$1,0)),NIP_Pipeline[[#This Row],[2013/14 (£m)]])),0),IF(_baseyear="2008/09",IF(NIP_Pipeline[[#This Row],[2013/14 (£m)]]&lt;&gt;0,IF(NIP_Pipeline[[#This Row],[Basis of costs]]="Nominal",NIP_Pipeline[[#This Row],[2013/14 (£m)]]*deflator[2008/09]/deflator[2013/14],IF(AND(NIP_Pipeline[[#This Row],[Basis of costs]]="Constant",MID(NIP_Pipeline[[#This Row],[Base Year]],5,1)="/"),NIP_Pipeline[[#This Row],[2013/14 (£m)]]*deflator[2008/09]/INDEX('Indexation data'!$B$2:$AE$2,MATCH(NIP_Pipeline[[#This Row],[Base Year]],'Indexation data'!$B$1:$AE$1,0)),NIP_Pipeline[[#This Row],[2013/14 (£m)]])),0),IF(_baseyear="2011/12",IF(NIP_Pipeline[[#This Row],[2013/14 (£m)]]&lt;&gt;0,IF(NIP_Pipeline[[#This Row],[Basis of costs]]="Nominal",NIP_Pipeline[[#This Row],[2013/14 (£m)]]*deflator[2011/12]/deflator[2013/14],IF(AND(NIP_Pipeline[[#This Row],[Basis of costs]]="Constant",MID(NIP_Pipeline[[#This Row],[Base Year]],5,1)="/"),NIP_Pipeline[[#This Row],[2013/14 (£m)]]*deflator[2011/12]/INDEX('Indexation data'!$B$2:$AE$2,MATCH(NIP_Pipeline[[#This Row],[Base Year]],'Indexation data'!$B$1:$AE$1,0)),NIP_Pipeline[[#This Row],[2013/14 (£m)]])),0),"Error")))</f>
        <v>81.902975218336252</v>
      </c>
      <c r="AF647" s="30">
        <f>IF(_baseyear="2012/13",IF(NIP_Pipeline[[#This Row],[2014/15 (£m)]]&lt;&gt;0,IF(NIP_Pipeline[[#This Row],[Basis of costs]]="Nominal",NIP_Pipeline[[#This Row],[2014/15 (£m)]]*deflator[2012/13]/deflator[2014/15],IF(AND(NIP_Pipeline[[#This Row],[Basis of costs]]="Constant",MID(NIP_Pipeline[[#This Row],[Base Year]],5,1)="/"),NIP_Pipeline[[#This Row],[2014/15 (£m)]]*deflator[2012/13]/INDEX('Indexation data'!$B$2:$AE$2,MATCH(NIP_Pipeline[[#This Row],[Base Year]],'Indexation data'!$B$1:$AE$1,0)),NIP_Pipeline[[#This Row],[2014/15 (£m)]])),0),IF(_baseyear="2008/09",IF(NIP_Pipeline[[#This Row],[2014/15 (£m)]]&lt;&gt;0,IF(NIP_Pipeline[[#This Row],[Basis of costs]]="Nominal",NIP_Pipeline[[#This Row],[2014/15 (£m)]]*deflator[2008/09]/deflator[2014/15],IF(AND(NIP_Pipeline[[#This Row],[Basis of costs]]="Constant",MID(NIP_Pipeline[[#This Row],[Base Year]],5,1)="/"),NIP_Pipeline[[#This Row],[2014/15 (£m)]]*deflator[2008/09]/INDEX('Indexation data'!$B$2:$AE$2,MATCH(NIP_Pipeline[[#This Row],[Base Year]],'Indexation data'!$B$1:$AE$1,0)),NIP_Pipeline[[#This Row],[2014/15 (£m)]])),0),IF(_baseyear="2011/12",IF(NIP_Pipeline[[#This Row],[2014/15 (£m)]]&lt;&gt;0,IF(NIP_Pipeline[[#This Row],[Basis of costs]]="Nominal",NIP_Pipeline[[#This Row],[2014/15 (£m)]]*deflator[2011/12]/deflator[2014/15],IF(AND(NIP_Pipeline[[#This Row],[Basis of costs]]="Constant",MID(NIP_Pipeline[[#This Row],[Base Year]],5,1)="/"),NIP_Pipeline[[#This Row],[2014/15 (£m)]]*deflator[2011/12]/INDEX('Indexation data'!$B$2:$AE$2,MATCH(NIP_Pipeline[[#This Row],[Base Year]],'Indexation data'!$B$1:$AE$1,0)),NIP_Pipeline[[#This Row],[2014/15 (£m)]])),0),"Error")))</f>
        <v>68.775319318076214</v>
      </c>
      <c r="AG647" s="30">
        <f>IF(_baseyear="2012/13",IF(NIP_Pipeline[[#This Row],[2015/16 (£m)]]&lt;&gt;0,IF(NIP_Pipeline[[#This Row],[Basis of costs]]="Nominal",NIP_Pipeline[[#This Row],[2015/16 (£m)]]*deflator[2012/13]/deflator[2015/16],IF(AND(NIP_Pipeline[[#This Row],[Basis of costs]]="Constant",MID(NIP_Pipeline[[#This Row],[Base Year]],5,1)="/"),NIP_Pipeline[[#This Row],[2015/16 (£m)]]*deflator[2012/13]/INDEX('Indexation data'!$B$2:$AE$2,MATCH(NIP_Pipeline[[#This Row],[Base Year]],'Indexation data'!$B$1:$AE$1,0)),NIP_Pipeline[[#This Row],[2015/16 (£m)]])),0),IF(_baseyear="2008/09",IF(NIP_Pipeline[[#This Row],[2015/16 (£m)]]&lt;&gt;0,IF(NIP_Pipeline[[#This Row],[Basis of costs]]="Nominal",NIP_Pipeline[[#This Row],[2015/16 (£m)]]*deflator[2008/09]/deflator[2015/16],IF(AND(NIP_Pipeline[[#This Row],[Basis of costs]]="Constant",MID(NIP_Pipeline[[#This Row],[Base Year]],5,1)="/"),NIP_Pipeline[[#This Row],[2015/16 (£m)]]*deflator[2008/09]/INDEX('Indexation data'!$B$2:$AE$2,MATCH(NIP_Pipeline[[#This Row],[Base Year]],'Indexation data'!$B$1:$AE$1,0)),NIP_Pipeline[[#This Row],[2015/16 (£m)]])),0),IF(_baseyear="2011/12",IF(NIP_Pipeline[[#This Row],[2015/16 (£m)]]&lt;&gt;0,IF(NIP_Pipeline[[#This Row],[Basis of costs]]="Nominal",NIP_Pipeline[[#This Row],[2015/16 (£m)]]*deflator[2011/12]/deflator[2015/16],IF(AND(NIP_Pipeline[[#This Row],[Basis of costs]]="Constant",MID(NIP_Pipeline[[#This Row],[Base Year]],5,1)="/"),NIP_Pipeline[[#This Row],[2015/16 (£m)]]*deflator[2011/12]/INDEX('Indexation data'!$B$2:$AE$2,MATCH(NIP_Pipeline[[#This Row],[Base Year]],'Indexation data'!$B$1:$AE$1,0)),NIP_Pipeline[[#This Row],[2015/16 (£m)]])),0),"Error")))</f>
        <v>0</v>
      </c>
      <c r="AH647" s="95">
        <f>IF(_baseyear="2012/13",IF(NIP_Pipeline[[#This Row],[Total 2016/17 to 2019/20 (£m)]]&lt;&gt;0,IF(NIP_Pipeline[[#This Row],[Basis of costs]]="Nominal",NIP_Pipeline[[#This Row],[Total 2016/17 to 2019/20 (£m)]]*deflator[2012/13]/deflator[2016/17],IF(AND(NIP_Pipeline[[#This Row],[Basis of costs]]="Constant",MID(NIP_Pipeline[[#This Row],[Base Year]],5,1)="/"),NIP_Pipeline[[#This Row],[Total 2016/17 to 2019/20 (£m)]]*deflator[2012/13]/INDEX('Indexation data'!$B$2:$AE$2,MATCH(NIP_Pipeline[[#This Row],[Base Year]],'Indexation data'!$B$1:$AE$1,0)),NIP_Pipeline[[#This Row],[Total 2016/17 to 2019/20 (£m)]])),0),IF(_baseyear="2008/09",IF(NIP_Pipeline[[#This Row],[Total 2016/17 to 2019/20 (£m)]]&lt;&gt;0,IF(NIP_Pipeline[[#This Row],[Basis of costs]]="Nominal",NIP_Pipeline[[#This Row],[Total 2016/17 to 2019/20 (£m)]]*deflator[2008/09]/deflator[2016/17],IF(AND(NIP_Pipeline[[#This Row],[Basis of costs]]="Constant",MID(NIP_Pipeline[[#This Row],[Base Year]],5,1)="/"),NIP_Pipeline[[#This Row],[Total 2016/17 to 2019/20 (£m)]]*deflator[2008/09]/INDEX('Indexation data'!$B$2:$AE$2,MATCH(NIP_Pipeline[[#This Row],[Base Year]],'Indexation data'!$B$1:$AE$1,0)),NIP_Pipeline[[#This Row],[Total 2016/17 to 2019/20 (£m)]])),0),IF(_baseyear="2011/12",IF(NIP_Pipeline[[#This Row],[Total 2016/17 to 2019/20 (£m)]]&lt;&gt;0,IF(NIP_Pipeline[[#This Row],[Basis of costs]]="Nominal",NIP_Pipeline[[#This Row],[Total 2016/17 to 2019/20 (£m)]]*deflator[2011/12]/deflator[2016/17],IF(AND(NIP_Pipeline[[#This Row],[Basis of costs]]="Constant",MID(NIP_Pipeline[[#This Row],[Base Year]],5,1)="/"),NIP_Pipeline[[#This Row],[Total 2016/17 to 2019/20 (£m)]]*deflator[2011/12]/INDEX('Indexation data'!$B$2:$AE$2,MATCH(NIP_Pipeline[[#This Row],[Base Year]],'Indexation data'!$B$1:$AE$1,0)),NIP_Pipeline[[#This Row],[Total 2016/17 to 2019/20 (£m)]])),0),"Error")))</f>
        <v>0</v>
      </c>
      <c r="AI647" s="95">
        <f>IF(_baseyear="2012/13",IF(NIP_Pipeline[[#This Row],[2020/21 and Beyond  (£m)]]&lt;&gt;0,IF(NIP_Pipeline[[#This Row],[Basis of costs]]="Nominal",NIP_Pipeline[[#This Row],[2020/21 and Beyond  (£m)]]*deflator[2012/13]/deflator[2020/21],IF(AND(NIP_Pipeline[[#This Row],[Basis of costs]]="Constant",MID(NIP_Pipeline[[#This Row],[Base Year]],5,1)="/"),NIP_Pipeline[[#This Row],[2020/21 and Beyond  (£m)]]*deflator[2012/13]/INDEX('Indexation data'!$B$2:$AE$2,MATCH(NIP_Pipeline[[#This Row],[Base Year]],'Indexation data'!$B$1:$AE$1,0)),NIP_Pipeline[[#This Row],[2020/21 and Beyond  (£m)]])),0),IF(_baseyear="2008/09",IF(NIP_Pipeline[[#This Row],[2020/21 and Beyond  (£m)]]&lt;&gt;0,IF(NIP_Pipeline[[#This Row],[Basis of costs]]="Nominal",NIP_Pipeline[[#This Row],[2020/21 and Beyond  (£m)]]*deflator[2008/09]/deflator[2020/21],IF(AND(NIP_Pipeline[[#This Row],[Basis of costs]]="Constant",MID(NIP_Pipeline[[#This Row],[Base Year]],5,1)="/"),NIP_Pipeline[[#This Row],[2020/21 and Beyond  (£m)]]*deflator[2008/09]/INDEX('Indexation data'!$B$2:$AE$2,MATCH(NIP_Pipeline[[#This Row],[Base Year]],'Indexation data'!$B$1:$AE$1,0)),NIP_Pipeline[[#This Row],[2020/21 and Beyond  (£m)]])),0),IF(_baseyear="2011/12",IF(NIP_Pipeline[[#This Row],[2020/21 and Beyond  (£m)]]&lt;&gt;0,IF(NIP_Pipeline[[#This Row],[Basis of costs]]="Nominal",NIP_Pipeline[[#This Row],[2020/21 and Beyond  (£m)]]*deflator[2011/12]/deflator[2020/21],IF(AND(NIP_Pipeline[[#This Row],[Basis of costs]]="Constant",MID(NIP_Pipeline[[#This Row],[Base Year]],5,1)="/"),NIP_Pipeline[[#This Row],[2020/21 and Beyond  (£m)]]*deflator[2011/12]/INDEX('Indexation data'!$B$2:$AE$2,MATCH(NIP_Pipeline[[#This Row],[Base Year]],'Indexation data'!$B$1:$AE$1,0)),NIP_Pipeline[[#This Row],[2020/21 and Beyond  (£m)]])),0),"Error")))</f>
        <v>0</v>
      </c>
      <c r="AJ647" s="10">
        <f t="shared" si="51"/>
        <v>255.6783247974212</v>
      </c>
      <c r="AK647" s="10">
        <f t="shared" si="50"/>
        <v>0</v>
      </c>
      <c r="AL647" s="10">
        <f t="shared" si="52"/>
        <v>150.67829453641247</v>
      </c>
      <c r="AM647" s="6"/>
    </row>
    <row r="648" spans="1:51" ht="31.5" customHeight="1">
      <c r="A648" s="236"/>
      <c r="B648" s="236"/>
      <c r="C648" s="15"/>
      <c r="D648" s="15"/>
      <c r="E648" s="237"/>
      <c r="F648" s="15"/>
      <c r="G648" s="238"/>
      <c r="H648" s="237"/>
      <c r="I648" s="55"/>
      <c r="J648" s="237"/>
      <c r="L648" s="237"/>
      <c r="M648" s="55"/>
      <c r="N648" s="55"/>
      <c r="O648" s="239"/>
      <c r="P648" s="239">
        <f>SUBTOTAL(109,[Total capex cost publicly funded, if different (£m)])</f>
        <v>8311.8703127379686</v>
      </c>
      <c r="Q648" s="240">
        <f>SUBTOTAL(109,[2012/13 (£m)])</f>
        <v>26751.543752828798</v>
      </c>
      <c r="R648" s="240">
        <f>SUBTOTAL(109,[2013/14 (£m)])</f>
        <v>32874.686111725343</v>
      </c>
      <c r="S648" s="240">
        <f>SUBTOTAL(109,[2014/15 (£m)])</f>
        <v>36459.059705287596</v>
      </c>
      <c r="T648" s="240">
        <f>SUBTOTAL(109,[2015/16 (£m)])</f>
        <v>39503.5350700622</v>
      </c>
      <c r="U648" s="240">
        <f>SUBTOTAL(109,[Total 2016/17 to 2019/20 (£m)])</f>
        <v>150118.94347679414</v>
      </c>
      <c r="V648" s="240">
        <f>SUBTOTAL(109,[2020/21 and Beyond  (£m)])</f>
        <v>121971.94884338895</v>
      </c>
      <c r="W648" s="9"/>
      <c r="X648" s="239"/>
      <c r="Y648" s="241"/>
      <c r="Z648" s="313"/>
      <c r="AA648" s="6"/>
      <c r="AB648" s="15"/>
      <c r="AC648" s="242">
        <f>SUBTOTAL(103,[Top 40 Project])</f>
        <v>146</v>
      </c>
      <c r="AD648" s="105">
        <f t="shared" ref="AD648:AL648" si="53">SUM(AD2:AD647)</f>
        <v>27540.454693482359</v>
      </c>
      <c r="AE648" s="105">
        <f t="shared" si="53"/>
        <v>33403.10724356024</v>
      </c>
      <c r="AF648" s="105">
        <f t="shared" si="53"/>
        <v>36490.903587540794</v>
      </c>
      <c r="AG648" s="105">
        <f t="shared" si="53"/>
        <v>38974.989124231011</v>
      </c>
      <c r="AH648" s="105">
        <f t="shared" si="53"/>
        <v>148601.62718563856</v>
      </c>
      <c r="AI648" s="106">
        <f t="shared" si="53"/>
        <v>119601.50271083329</v>
      </c>
      <c r="AJ648" s="105">
        <f t="shared" si="53"/>
        <v>136409.45464881446</v>
      </c>
      <c r="AK648" s="105">
        <f t="shared" si="53"/>
        <v>268203.12989647174</v>
      </c>
      <c r="AL648" s="105">
        <f t="shared" si="53"/>
        <v>377072.12985180394</v>
      </c>
      <c r="AM648" s="6"/>
    </row>
    <row r="649" spans="1:51" ht="31.5" customHeight="1">
      <c r="P649" s="6"/>
      <c r="Q649" s="6"/>
      <c r="R649" s="149"/>
      <c r="AM649" s="86"/>
    </row>
    <row r="650" spans="1:51" ht="31.5" customHeight="1">
      <c r="A650" s="17"/>
      <c r="B650" s="17"/>
      <c r="J650" s="64"/>
      <c r="K650" s="51"/>
      <c r="L650" s="1"/>
      <c r="M650" s="1"/>
      <c r="N650" s="1"/>
      <c r="P650" s="6"/>
      <c r="Q650" s="6"/>
      <c r="R650" s="149"/>
      <c r="S650" s="149"/>
      <c r="T650" s="149"/>
      <c r="W650" s="151"/>
      <c r="AM650" s="86"/>
      <c r="AS650" s="94"/>
      <c r="AT650" s="94"/>
      <c r="AU650" s="94"/>
      <c r="AV650" s="94"/>
      <c r="AW650" s="94"/>
      <c r="AX650" s="94"/>
      <c r="AY650" s="94"/>
    </row>
    <row r="651" spans="1:51" ht="31.5" customHeight="1">
      <c r="A651" s="17"/>
      <c r="B651" s="17"/>
      <c r="L651" s="1"/>
      <c r="M651" s="1"/>
      <c r="N651" s="1"/>
      <c r="O651" s="124"/>
      <c r="P651" s="6"/>
      <c r="Q651" s="6"/>
      <c r="R651" s="149"/>
      <c r="S651" s="149"/>
      <c r="T651" s="149"/>
      <c r="W651" s="151"/>
      <c r="AM651" s="86"/>
    </row>
    <row r="652" spans="1:51" ht="31.5" customHeight="1">
      <c r="A652" s="17"/>
      <c r="B652" s="17"/>
      <c r="C652" s="135"/>
      <c r="D652" s="136"/>
      <c r="F652" s="137"/>
      <c r="L652" s="1"/>
      <c r="M652" s="1"/>
      <c r="N652" s="1"/>
      <c r="P652" s="6"/>
      <c r="Q652" s="6"/>
      <c r="R652" s="149"/>
      <c r="S652" s="149"/>
      <c r="T652" s="149"/>
      <c r="W652" s="151"/>
      <c r="AM652" s="86"/>
    </row>
    <row r="653" spans="1:51" ht="31.5" customHeight="1">
      <c r="A653" s="17"/>
      <c r="B653" s="17"/>
      <c r="L653" s="1"/>
      <c r="M653" s="1"/>
      <c r="N653" s="1"/>
      <c r="P653" s="6"/>
      <c r="Q653" s="6"/>
      <c r="R653" s="149"/>
      <c r="S653" s="149"/>
      <c r="T653" s="149"/>
      <c r="W653" s="151"/>
      <c r="AM653" s="86"/>
    </row>
    <row r="654" spans="1:51" ht="31.5" customHeight="1">
      <c r="A654" s="17"/>
      <c r="B654" s="17"/>
      <c r="L654" s="1"/>
      <c r="M654" s="1"/>
      <c r="N654" s="1"/>
      <c r="P654" s="6"/>
      <c r="Q654" s="6"/>
      <c r="R654" s="149"/>
      <c r="S654" s="149"/>
      <c r="T654" s="149"/>
      <c r="W654" s="151"/>
      <c r="AM654" s="86"/>
    </row>
    <row r="655" spans="1:51" ht="31.5" customHeight="1">
      <c r="B655" s="17"/>
      <c r="L655" s="1"/>
      <c r="M655" s="1"/>
      <c r="N655" s="1"/>
      <c r="P655" s="6"/>
      <c r="Q655" s="6"/>
      <c r="R655" s="149"/>
      <c r="S655" s="149"/>
      <c r="T655" s="149"/>
      <c r="W655" s="151"/>
      <c r="AM655" s="86"/>
    </row>
    <row r="656" spans="1:51" ht="31.5" customHeight="1">
      <c r="B656" s="17"/>
      <c r="L656" s="1"/>
      <c r="M656" s="1"/>
      <c r="N656" s="1"/>
      <c r="P656" s="6"/>
      <c r="Q656" s="6"/>
      <c r="R656" s="149"/>
      <c r="S656" s="149"/>
      <c r="T656" s="149"/>
      <c r="W656" s="151"/>
      <c r="AM656" s="86"/>
    </row>
    <row r="657" spans="2:23" ht="31.5" customHeight="1">
      <c r="B657" s="17"/>
      <c r="L657" s="1"/>
      <c r="M657" s="1"/>
      <c r="N657" s="1"/>
      <c r="P657" s="6"/>
      <c r="Q657" s="6"/>
      <c r="R657" s="149"/>
      <c r="S657" s="149"/>
      <c r="T657" s="149"/>
      <c r="W657" s="151"/>
    </row>
    <row r="658" spans="2:23" ht="31.5" customHeight="1">
      <c r="B658" s="17"/>
      <c r="L658" s="1"/>
      <c r="M658" s="1"/>
      <c r="N658" s="1"/>
      <c r="P658" s="6"/>
      <c r="Q658" s="6"/>
      <c r="R658" s="149"/>
      <c r="S658" s="149"/>
      <c r="T658" s="149"/>
      <c r="W658" s="151"/>
    </row>
    <row r="659" spans="2:23" ht="31.5" customHeight="1">
      <c r="B659" s="17"/>
      <c r="L659" s="1"/>
      <c r="M659" s="1"/>
      <c r="N659" s="1"/>
      <c r="P659" s="6"/>
      <c r="Q659" s="6"/>
      <c r="R659" s="149"/>
      <c r="S659" s="149"/>
      <c r="T659" s="149"/>
      <c r="W659" s="151"/>
    </row>
    <row r="660" spans="2:23" ht="31.5" customHeight="1">
      <c r="B660" s="17"/>
      <c r="L660" s="1"/>
      <c r="M660" s="1"/>
      <c r="N660" s="1"/>
      <c r="P660" s="6"/>
      <c r="Q660" s="6"/>
      <c r="R660" s="149"/>
      <c r="S660" s="149"/>
      <c r="T660" s="149"/>
      <c r="W660" s="151"/>
    </row>
    <row r="661" spans="2:23" ht="31.5" customHeight="1">
      <c r="B661" s="17"/>
      <c r="L661" s="1"/>
      <c r="M661" s="1"/>
      <c r="N661" s="1"/>
      <c r="P661" s="6"/>
      <c r="Q661" s="6"/>
      <c r="R661" s="149"/>
      <c r="S661" s="149"/>
      <c r="T661" s="149"/>
      <c r="W661" s="151"/>
    </row>
    <row r="662" spans="2:23" ht="31.5" customHeight="1">
      <c r="B662" s="17"/>
      <c r="L662" s="1"/>
      <c r="M662" s="1"/>
      <c r="N662" s="1"/>
      <c r="P662" s="6"/>
      <c r="Q662" s="6"/>
      <c r="R662" s="149"/>
      <c r="S662" s="149"/>
      <c r="T662" s="149"/>
      <c r="W662" s="151"/>
    </row>
    <row r="663" spans="2:23" ht="31.5" customHeight="1">
      <c r="B663" s="17"/>
      <c r="L663" s="1"/>
      <c r="M663" s="1"/>
      <c r="N663" s="1"/>
      <c r="P663" s="6"/>
      <c r="Q663" s="6"/>
      <c r="R663" s="149"/>
      <c r="S663" s="149"/>
      <c r="T663" s="149"/>
      <c r="W663" s="151"/>
    </row>
    <row r="664" spans="2:23" ht="31.5" customHeight="1">
      <c r="B664" s="17"/>
      <c r="L664" s="1"/>
      <c r="M664" s="1"/>
      <c r="N664" s="1"/>
      <c r="P664" s="6"/>
      <c r="Q664" s="6"/>
      <c r="R664" s="149"/>
      <c r="S664" s="149"/>
      <c r="T664" s="149"/>
      <c r="W664" s="151"/>
    </row>
    <row r="665" spans="2:23" ht="31.5" customHeight="1">
      <c r="B665" s="17"/>
      <c r="L665" s="1"/>
      <c r="M665" s="1"/>
      <c r="N665" s="1"/>
      <c r="P665" s="6"/>
      <c r="Q665" s="6"/>
      <c r="R665" s="149"/>
      <c r="S665" s="149"/>
      <c r="T665" s="149"/>
      <c r="W665" s="151"/>
    </row>
    <row r="666" spans="2:23" ht="31.5" customHeight="1">
      <c r="B666" s="17"/>
      <c r="L666" s="1"/>
      <c r="M666" s="1"/>
      <c r="N666" s="1"/>
      <c r="P666" s="6"/>
      <c r="Q666" s="6"/>
      <c r="R666" s="149"/>
      <c r="S666" s="149"/>
      <c r="T666" s="149"/>
      <c r="W666" s="151"/>
    </row>
    <row r="667" spans="2:23" ht="31.5" customHeight="1">
      <c r="B667" s="17"/>
      <c r="L667" s="1"/>
      <c r="M667" s="1"/>
      <c r="N667" s="1"/>
      <c r="P667" s="6"/>
      <c r="Q667" s="6"/>
      <c r="R667" s="149"/>
      <c r="S667" s="149"/>
      <c r="T667" s="149"/>
      <c r="W667" s="151"/>
    </row>
    <row r="668" spans="2:23" ht="31.5" customHeight="1">
      <c r="B668" s="17"/>
      <c r="L668" s="1"/>
      <c r="M668" s="1"/>
      <c r="N668" s="1"/>
      <c r="P668" s="6"/>
      <c r="Q668" s="6"/>
      <c r="R668" s="149"/>
      <c r="S668" s="149"/>
      <c r="T668" s="149"/>
      <c r="W668" s="151"/>
    </row>
    <row r="669" spans="2:23" ht="31.5" customHeight="1">
      <c r="B669" s="17"/>
      <c r="L669" s="1"/>
      <c r="M669" s="1"/>
      <c r="N669" s="1"/>
      <c r="P669" s="6"/>
      <c r="Q669" s="6"/>
      <c r="R669" s="149"/>
      <c r="S669" s="149"/>
      <c r="T669" s="149"/>
      <c r="W669" s="151"/>
    </row>
    <row r="670" spans="2:23" ht="31.5" customHeight="1">
      <c r="B670" s="17"/>
      <c r="L670" s="1"/>
      <c r="M670" s="1"/>
      <c r="N670" s="1"/>
      <c r="P670" s="6"/>
      <c r="Q670" s="6"/>
      <c r="R670" s="149"/>
      <c r="S670" s="149"/>
      <c r="T670" s="149"/>
      <c r="W670" s="151"/>
    </row>
    <row r="671" spans="2:23" ht="31.5" customHeight="1">
      <c r="B671" s="17"/>
      <c r="L671" s="1"/>
      <c r="M671" s="1"/>
      <c r="N671" s="1"/>
      <c r="P671" s="6"/>
      <c r="Q671" s="6"/>
      <c r="R671" s="149"/>
      <c r="S671" s="149"/>
      <c r="T671" s="149"/>
    </row>
    <row r="672" spans="2:23" ht="31.5" customHeight="1">
      <c r="B672" s="17"/>
      <c r="L672" s="1"/>
      <c r="M672" s="1"/>
      <c r="N672" s="1"/>
      <c r="P672" s="6"/>
      <c r="Q672" s="6"/>
      <c r="R672" s="149"/>
      <c r="S672" s="149"/>
      <c r="T672" s="149"/>
    </row>
    <row r="673" spans="2:20" ht="31.5" customHeight="1">
      <c r="B673" s="17"/>
      <c r="L673" s="1"/>
      <c r="M673" s="1"/>
      <c r="N673" s="1"/>
      <c r="P673" s="6"/>
      <c r="Q673" s="6"/>
      <c r="R673" s="149"/>
      <c r="S673" s="149"/>
      <c r="T673" s="149"/>
    </row>
    <row r="674" spans="2:20" ht="31.5" customHeight="1">
      <c r="B674" s="17"/>
      <c r="L674" s="1"/>
      <c r="M674" s="1"/>
      <c r="N674" s="1"/>
      <c r="P674" s="6"/>
      <c r="Q674" s="6"/>
      <c r="R674" s="149"/>
      <c r="S674" s="149"/>
      <c r="T674" s="149"/>
    </row>
    <row r="675" spans="2:20" ht="31.5" customHeight="1">
      <c r="B675" s="17"/>
      <c r="L675" s="1"/>
      <c r="M675" s="1"/>
      <c r="N675" s="1"/>
      <c r="P675" s="6"/>
      <c r="Q675" s="6"/>
      <c r="R675" s="149"/>
      <c r="S675" s="149"/>
      <c r="T675" s="149"/>
    </row>
    <row r="676" spans="2:20" ht="31.5" customHeight="1">
      <c r="B676" s="17"/>
      <c r="L676" s="1"/>
      <c r="M676" s="1"/>
      <c r="N676" s="1"/>
      <c r="P676" s="6"/>
      <c r="Q676" s="6"/>
      <c r="R676" s="149"/>
      <c r="S676" s="149"/>
      <c r="T676" s="149"/>
    </row>
    <row r="677" spans="2:20" ht="31.5" customHeight="1">
      <c r="B677" s="17"/>
      <c r="L677" s="1"/>
      <c r="M677" s="1"/>
      <c r="N677" s="1"/>
      <c r="P677" s="6"/>
      <c r="Q677" s="6"/>
      <c r="R677" s="149"/>
      <c r="S677" s="149"/>
      <c r="T677" s="149"/>
    </row>
    <row r="678" spans="2:20" ht="31.5" customHeight="1">
      <c r="B678" s="17"/>
      <c r="L678" s="1"/>
      <c r="M678" s="1"/>
      <c r="N678" s="1"/>
      <c r="P678" s="6"/>
      <c r="Q678" s="6"/>
      <c r="R678" s="149"/>
      <c r="S678" s="149"/>
      <c r="T678" s="149"/>
    </row>
    <row r="679" spans="2:20" ht="31.5" customHeight="1">
      <c r="L679" s="1"/>
      <c r="M679" s="1"/>
      <c r="N679" s="1"/>
      <c r="P679" s="6"/>
      <c r="Q679" s="6"/>
      <c r="R679" s="149"/>
      <c r="S679" s="149"/>
      <c r="T679" s="149"/>
    </row>
    <row r="680" spans="2:20" ht="31.5" customHeight="1">
      <c r="C680" s="21"/>
      <c r="D680" s="21"/>
      <c r="P680" s="6"/>
      <c r="Q680" s="6"/>
      <c r="R680" s="149"/>
    </row>
    <row r="681" spans="2:20" ht="31.5" customHeight="1">
      <c r="C681" s="21"/>
      <c r="D681" s="21"/>
      <c r="P681" s="6"/>
      <c r="Q681" s="6"/>
      <c r="R681" s="149"/>
    </row>
    <row r="682" spans="2:20" ht="31.5" customHeight="1">
      <c r="C682" s="21"/>
      <c r="D682" s="21"/>
      <c r="Q682" s="6"/>
      <c r="R682" s="149"/>
    </row>
    <row r="683" spans="2:20" ht="31.5" customHeight="1">
      <c r="C683" s="21"/>
      <c r="D683" s="21"/>
      <c r="Q683" s="6"/>
      <c r="R683" s="149"/>
    </row>
    <row r="684" spans="2:20" ht="31.5" customHeight="1">
      <c r="C684" s="21"/>
      <c r="D684" s="21"/>
      <c r="Q684" s="6"/>
      <c r="R684" s="149"/>
    </row>
    <row r="685" spans="2:20" ht="31.5" customHeight="1">
      <c r="C685" s="21"/>
      <c r="D685" s="21"/>
      <c r="Q685" s="6"/>
      <c r="R685" s="149"/>
    </row>
    <row r="686" spans="2:20" ht="31.5" customHeight="1">
      <c r="C686" s="21"/>
      <c r="D686" s="21"/>
      <c r="Q686" s="6"/>
      <c r="R686" s="149"/>
    </row>
    <row r="687" spans="2:20" ht="31.5" customHeight="1">
      <c r="C687" s="21"/>
      <c r="D687" s="21"/>
      <c r="Q687" s="6"/>
      <c r="R687" s="149"/>
    </row>
    <row r="688" spans="2:20" ht="31.5" customHeight="1">
      <c r="C688" s="21"/>
      <c r="D688" s="21"/>
      <c r="Q688" s="6"/>
      <c r="R688" s="149"/>
    </row>
    <row r="689" spans="3:18" ht="31.5" customHeight="1">
      <c r="C689" s="21"/>
      <c r="D689" s="21"/>
      <c r="Q689" s="6"/>
      <c r="R689" s="149"/>
    </row>
    <row r="690" spans="3:18" ht="31.5" customHeight="1">
      <c r="C690" s="21"/>
      <c r="D690" s="21"/>
    </row>
    <row r="691" spans="3:18" ht="31.5" customHeight="1">
      <c r="C691" s="21"/>
      <c r="D691" s="21"/>
    </row>
    <row r="692" spans="3:18" ht="31.5" customHeight="1">
      <c r="C692" s="21"/>
      <c r="D692" s="21"/>
    </row>
    <row r="693" spans="3:18" ht="31.5" customHeight="1">
      <c r="C693" s="21"/>
      <c r="D693" s="21"/>
    </row>
    <row r="694" spans="3:18" ht="31.5" customHeight="1">
      <c r="C694" s="21"/>
      <c r="D694" s="21"/>
    </row>
    <row r="695" spans="3:18" ht="31.5" customHeight="1">
      <c r="C695" s="21"/>
      <c r="D695" s="21"/>
    </row>
    <row r="696" spans="3:18" ht="31.5" customHeight="1">
      <c r="C696" s="21"/>
      <c r="D696" s="21"/>
    </row>
    <row r="697" spans="3:18" ht="31.5" customHeight="1">
      <c r="C697" s="21"/>
      <c r="D697" s="21"/>
    </row>
    <row r="698" spans="3:18" ht="31.5" customHeight="1">
      <c r="C698" s="21"/>
      <c r="D698" s="21"/>
    </row>
    <row r="699" spans="3:18" ht="31.5" customHeight="1">
      <c r="C699" s="21"/>
      <c r="D699" s="21"/>
    </row>
    <row r="700" spans="3:18" ht="31.5" customHeight="1">
      <c r="C700" s="21"/>
      <c r="D700" s="21"/>
    </row>
    <row r="701" spans="3:18" ht="31.5" customHeight="1">
      <c r="C701" s="21"/>
      <c r="D701" s="21"/>
    </row>
    <row r="702" spans="3:18" ht="31.5" customHeight="1">
      <c r="C702" s="21"/>
      <c r="D702" s="21"/>
    </row>
    <row r="703" spans="3:18" ht="31.5" customHeight="1">
      <c r="C703" s="21"/>
      <c r="D703" s="21"/>
    </row>
    <row r="704" spans="3:18" ht="31.5" customHeight="1">
      <c r="C704" s="21"/>
      <c r="D704" s="21"/>
    </row>
    <row r="705" spans="3:4" ht="31.5" customHeight="1">
      <c r="C705" s="21"/>
      <c r="D705" s="21"/>
    </row>
    <row r="706" spans="3:4" ht="31.5" customHeight="1">
      <c r="C706" s="21"/>
      <c r="D706" s="21"/>
    </row>
    <row r="707" spans="3:4" ht="31.5" customHeight="1">
      <c r="C707" s="21"/>
      <c r="D707" s="21"/>
    </row>
    <row r="708" spans="3:4" ht="31.5" customHeight="1">
      <c r="C708" s="21"/>
      <c r="D708" s="21"/>
    </row>
    <row r="709" spans="3:4" ht="31.5" customHeight="1">
      <c r="C709" s="21"/>
      <c r="D709" s="21"/>
    </row>
    <row r="710" spans="3:4" ht="31.5" customHeight="1">
      <c r="C710" s="21"/>
      <c r="D710" s="21"/>
    </row>
  </sheetData>
  <sortState ref="N582:N583">
    <sortCondition ref="N581"/>
  </sortState>
  <dataConsolidate/>
  <dataValidations count="2">
    <dataValidation type="list" allowBlank="1" showInputMessage="1" showErrorMessage="1" sqref="V593:V613">
      <formula1>$W$8:$W$16</formula1>
    </dataValidation>
    <dataValidation type="list" allowBlank="1" showInputMessage="1" showErrorMessage="1" sqref="H573:H577">
      <formula1>$H$71:$H$81</formula1>
    </dataValidation>
  </dataValidations>
  <hyperlinks>
    <hyperlink ref="Z396" r:id="rId1"/>
    <hyperlink ref="Z19" r:id="rId2"/>
    <hyperlink ref="Z399" r:id="rId3"/>
    <hyperlink ref="Z401" r:id="rId4"/>
    <hyperlink ref="Z402" r:id="rId5"/>
    <hyperlink ref="Z404" r:id="rId6"/>
    <hyperlink ref="Z405" r:id="rId7"/>
    <hyperlink ref="Z407" r:id="rId8"/>
    <hyperlink ref="Z408" r:id="rId9"/>
    <hyperlink ref="Z403" r:id="rId10"/>
    <hyperlink ref="Z406" r:id="rId11"/>
    <hyperlink ref="Z409" r:id="rId12"/>
    <hyperlink ref="Z3" r:id="rId13"/>
    <hyperlink ref="Z8" r:id="rId14"/>
    <hyperlink ref="Z10" r:id="rId15"/>
    <hyperlink ref="Z11" r:id="rId16"/>
    <hyperlink ref="Z12" r:id="rId17"/>
    <hyperlink ref="Z13" r:id="rId18"/>
    <hyperlink ref="Z15" r:id="rId19"/>
    <hyperlink ref="Z14" r:id="rId20"/>
    <hyperlink ref="Z16" r:id="rId21"/>
    <hyperlink ref="Z18" r:id="rId22"/>
    <hyperlink ref="Z20" r:id="rId23"/>
    <hyperlink ref="Z21" r:id="rId24"/>
    <hyperlink ref="Z22" r:id="rId25"/>
    <hyperlink ref="Z23" r:id="rId26"/>
    <hyperlink ref="Z566" r:id="rId27"/>
    <hyperlink ref="Z567" r:id="rId28"/>
    <hyperlink ref="Z568" r:id="rId29"/>
    <hyperlink ref="Z570" r:id="rId30"/>
    <hyperlink ref="Z242" r:id="rId31"/>
    <hyperlink ref="Z243" r:id="rId32"/>
    <hyperlink ref="Z244" r:id="rId33"/>
    <hyperlink ref="Z245" r:id="rId34"/>
    <hyperlink ref="Z246" r:id="rId35"/>
    <hyperlink ref="Z247" r:id="rId36"/>
    <hyperlink ref="Z248" r:id="rId37"/>
    <hyperlink ref="AA403" r:id="rId38"/>
    <hyperlink ref="Z571" r:id="rId39" display="http://www.metrolink.co.uk/FUTUREMETROLINK/Pages/default.aspx"/>
    <hyperlink ref="Z572" r:id="rId40" display="http://www.thetram.net/"/>
    <hyperlink ref="Z573" r:id="rId41" display="http://www.ngtmetro.com/"/>
    <hyperlink ref="Z574" r:id="rId42" display="http://www.norfolk.gov.uk/Travel_and_transport/Transport_future_for_Norfolk/Transport_for_Norwich/Northern_Distributor_Road_and_Postwick_Junction/index.htm"/>
    <hyperlink ref="Z575" r:id="rId43"/>
    <hyperlink ref="Z576" r:id="rId44"/>
    <hyperlink ref="Z577" r:id="rId45"/>
    <hyperlink ref="Z579" r:id="rId46" display="http://www.dft.gov.uk/"/>
    <hyperlink ref="Z580" r:id="rId47" display="http://www.dft.gov.uk/"/>
    <hyperlink ref="Z581" r:id="rId48"/>
    <hyperlink ref="AA571" r:id="rId49" display="http://www.metrolink.co.uk/FUTUREMETROLINK/Pages/default.aspx"/>
    <hyperlink ref="Z6" r:id="rId50"/>
    <hyperlink ref="Z26" r:id="rId51"/>
    <hyperlink ref="Z51" r:id="rId52"/>
    <hyperlink ref="Z9" r:id="rId53"/>
    <hyperlink ref="Z5" r:id="rId54"/>
    <hyperlink ref="Z27" r:id="rId55" display="http://www2.nationalgrid.com/UK/Services/Electricity-connections/Industry-products/TEC-Register/"/>
    <hyperlink ref="Z75" r:id="rId56"/>
    <hyperlink ref="Z71:Z74" r:id="rId57" display="https://www.gov.uk/government/organisations/department-of-energy-climate-change"/>
    <hyperlink ref="Z65" r:id="rId58"/>
    <hyperlink ref="Z66" r:id="rId59"/>
    <hyperlink ref="Z67" r:id="rId60"/>
    <hyperlink ref="Z269" r:id="rId61"/>
    <hyperlink ref="Z270" r:id="rId62"/>
    <hyperlink ref="Z271" r:id="rId63"/>
    <hyperlink ref="Z272" r:id="rId64"/>
    <hyperlink ref="Z273" r:id="rId65"/>
    <hyperlink ref="Z274" r:id="rId66"/>
    <hyperlink ref="Z275" r:id="rId67"/>
    <hyperlink ref="Z276" r:id="rId68"/>
    <hyperlink ref="Z277" r:id="rId69"/>
    <hyperlink ref="Z278" r:id="rId70"/>
    <hyperlink ref="Z279" r:id="rId71"/>
    <hyperlink ref="Z280" r:id="rId72"/>
    <hyperlink ref="Z281" r:id="rId73"/>
    <hyperlink ref="Z282" r:id="rId74"/>
    <hyperlink ref="Z283" r:id="rId75"/>
    <hyperlink ref="Z284" r:id="rId76"/>
    <hyperlink ref="Z285" r:id="rId77"/>
    <hyperlink ref="Z286" r:id="rId78"/>
    <hyperlink ref="Z287" r:id="rId79"/>
    <hyperlink ref="Z323" r:id="rId80"/>
    <hyperlink ref="Z84" r:id="rId81"/>
    <hyperlink ref="Z295" r:id="rId82"/>
    <hyperlink ref="Z296" r:id="rId83"/>
    <hyperlink ref="Z297" r:id="rId84"/>
    <hyperlink ref="Z298" r:id="rId85"/>
    <hyperlink ref="Z299" r:id="rId86"/>
    <hyperlink ref="Z300" r:id="rId87"/>
    <hyperlink ref="Z301" r:id="rId88"/>
    <hyperlink ref="Z308" r:id="rId89"/>
    <hyperlink ref="Z309" r:id="rId90"/>
    <hyperlink ref="Z310" r:id="rId91"/>
    <hyperlink ref="Z311" r:id="rId92"/>
    <hyperlink ref="Z312" r:id="rId93"/>
    <hyperlink ref="Z313" r:id="rId94"/>
    <hyperlink ref="Z314" r:id="rId95"/>
    <hyperlink ref="Z315" r:id="rId96"/>
    <hyperlink ref="Z316" r:id="rId97"/>
    <hyperlink ref="Z317" r:id="rId98"/>
    <hyperlink ref="Z318" r:id="rId99"/>
    <hyperlink ref="Z319" r:id="rId100"/>
    <hyperlink ref="Z320" r:id="rId101"/>
    <hyperlink ref="Z321" r:id="rId102"/>
    <hyperlink ref="Z322" r:id="rId103"/>
    <hyperlink ref="Z294" r:id="rId104"/>
    <hyperlink ref="Z302" r:id="rId105"/>
    <hyperlink ref="Z303" r:id="rId106"/>
    <hyperlink ref="Z304" r:id="rId107"/>
    <hyperlink ref="Z305" r:id="rId108"/>
    <hyperlink ref="Z307" r:id="rId109"/>
    <hyperlink ref="Z306" r:id="rId110"/>
  </hyperlinks>
  <pageMargins left="0.70866141732283472" right="0.70866141732283472" top="0.74803149606299213" bottom="0.74803149606299213" header="0.31496062992125984" footer="0.31496062992125984"/>
  <pageSetup paperSize="9" fitToHeight="0" orientation="portrait" r:id="rId111"/>
  <headerFooter>
    <oddHeader>&amp;C&amp;F&amp;RDecember 2013</oddHeader>
  </headerFooter>
  <ignoredErrors>
    <ignoredError sqref="H574 H576:H577" listDataValidation="1"/>
  </ignoredErrors>
  <tableParts count="1">
    <tablePart r:id="rId112"/>
  </tableParts>
</worksheet>
</file>

<file path=xl/worksheets/sheet4.xml><?xml version="1.0" encoding="utf-8"?>
<worksheet xmlns="http://schemas.openxmlformats.org/spreadsheetml/2006/main" xmlns:r="http://schemas.openxmlformats.org/officeDocument/2006/relationships">
  <sheetPr codeName="Sheet16">
    <tabColor rgb="FF92D050"/>
    <pageSetUpPr fitToPage="1"/>
  </sheetPr>
  <dimension ref="A1:AE31"/>
  <sheetViews>
    <sheetView zoomScale="80" zoomScaleNormal="80" workbookViewId="0">
      <selection activeCell="G4" sqref="G4"/>
    </sheetView>
  </sheetViews>
  <sheetFormatPr defaultColWidth="7.5703125" defaultRowHeight="12.75"/>
  <cols>
    <col min="1" max="1" width="12.28515625" style="187" customWidth="1"/>
    <col min="2" max="15" width="7.7109375" style="187" bestFit="1" customWidth="1"/>
    <col min="16" max="16" width="8" style="187" bestFit="1" customWidth="1"/>
    <col min="17" max="20" width="7.7109375" style="187" bestFit="1" customWidth="1"/>
    <col min="21" max="21" width="8" style="187" bestFit="1" customWidth="1"/>
    <col min="22" max="31" width="7.7109375" style="187" bestFit="1" customWidth="1"/>
    <col min="32" max="16384" width="7.5703125" style="187"/>
  </cols>
  <sheetData>
    <row r="1" spans="1:31">
      <c r="A1" s="187" t="s">
        <v>238</v>
      </c>
      <c r="B1" s="188" t="s">
        <v>265</v>
      </c>
      <c r="C1" s="187" t="s">
        <v>264</v>
      </c>
      <c r="D1" s="187" t="s">
        <v>263</v>
      </c>
      <c r="E1" s="187" t="s">
        <v>262</v>
      </c>
      <c r="F1" s="187" t="s">
        <v>261</v>
      </c>
      <c r="G1" s="187" t="s">
        <v>260</v>
      </c>
      <c r="H1" s="187" t="s">
        <v>259</v>
      </c>
      <c r="I1" s="187" t="s">
        <v>258</v>
      </c>
      <c r="J1" s="187" t="s">
        <v>257</v>
      </c>
      <c r="K1" s="187" t="s">
        <v>256</v>
      </c>
      <c r="L1" s="187" t="s">
        <v>255</v>
      </c>
      <c r="M1" s="187" t="s">
        <v>254</v>
      </c>
      <c r="N1" s="187" t="s">
        <v>253</v>
      </c>
      <c r="O1" s="187" t="s">
        <v>252</v>
      </c>
      <c r="P1" s="187" t="s">
        <v>251</v>
      </c>
      <c r="Q1" s="187" t="s">
        <v>189</v>
      </c>
      <c r="R1" s="187" t="s">
        <v>250</v>
      </c>
      <c r="S1" s="187" t="s">
        <v>28</v>
      </c>
      <c r="T1" s="187" t="s">
        <v>36</v>
      </c>
      <c r="U1" s="187" t="s">
        <v>232</v>
      </c>
      <c r="V1" s="187" t="s">
        <v>249</v>
      </c>
      <c r="W1" s="187" t="s">
        <v>41</v>
      </c>
      <c r="X1" s="187" t="s">
        <v>248</v>
      </c>
      <c r="Y1" s="187" t="s">
        <v>247</v>
      </c>
      <c r="Z1" s="187" t="s">
        <v>246</v>
      </c>
      <c r="AA1" s="187" t="s">
        <v>245</v>
      </c>
      <c r="AB1" s="187" t="s">
        <v>244</v>
      </c>
      <c r="AC1" s="187" t="s">
        <v>243</v>
      </c>
      <c r="AD1" s="187" t="s">
        <v>242</v>
      </c>
      <c r="AE1" s="187" t="s">
        <v>241</v>
      </c>
    </row>
    <row r="2" spans="1:31">
      <c r="A2" s="187" t="str">
        <f>_deflator</f>
        <v>GDP</v>
      </c>
      <c r="B2" s="189">
        <f t="shared" ref="B2:AE2" si="0">IF(_deflator="GDP",B6,IF(_deflator="RPI",B7,IF(_deflator="CPI",B8,"Err")))</f>
        <v>66.680999999999997</v>
      </c>
      <c r="C2" s="189">
        <f t="shared" si="0"/>
        <v>68.120999999999995</v>
      </c>
      <c r="D2" s="189">
        <f t="shared" si="0"/>
        <v>69.103999999999999</v>
      </c>
      <c r="E2" s="189">
        <f t="shared" si="0"/>
        <v>70.998000000000005</v>
      </c>
      <c r="F2" s="189">
        <f t="shared" si="0"/>
        <v>72.39</v>
      </c>
      <c r="G2" s="189">
        <f t="shared" si="0"/>
        <v>71.614000000000004</v>
      </c>
      <c r="H2" s="189">
        <f t="shared" si="0"/>
        <v>72.981999999999999</v>
      </c>
      <c r="I2" s="189">
        <f t="shared" si="0"/>
        <v>74.42</v>
      </c>
      <c r="J2" s="189">
        <f t="shared" si="0"/>
        <v>74.944999999999993</v>
      </c>
      <c r="K2" s="189">
        <f t="shared" si="0"/>
        <v>76.983999999999995</v>
      </c>
      <c r="L2" s="189">
        <f t="shared" si="0"/>
        <v>78.775000000000006</v>
      </c>
      <c r="M2" s="189">
        <f t="shared" si="0"/>
        <v>80.301000000000002</v>
      </c>
      <c r="N2" s="189">
        <f t="shared" si="0"/>
        <v>82.518000000000001</v>
      </c>
      <c r="O2" s="189">
        <f t="shared" si="0"/>
        <v>84.025000000000006</v>
      </c>
      <c r="P2" s="189">
        <f t="shared" si="0"/>
        <v>86.438999999999993</v>
      </c>
      <c r="Q2" s="189">
        <f t="shared" si="0"/>
        <v>88.611999999999995</v>
      </c>
      <c r="R2" s="189">
        <f t="shared" si="0"/>
        <v>91.096000000000004</v>
      </c>
      <c r="S2" s="189">
        <f t="shared" si="0"/>
        <v>93.611000000000004</v>
      </c>
      <c r="T2" s="189">
        <f t="shared" si="0"/>
        <v>96.055999999999997</v>
      </c>
      <c r="U2" s="189">
        <f t="shared" si="0"/>
        <v>98.262</v>
      </c>
      <c r="V2" s="189">
        <f t="shared" si="0"/>
        <v>100</v>
      </c>
      <c r="W2" s="189">
        <f t="shared" si="0"/>
        <v>102.3</v>
      </c>
      <c r="X2" s="189">
        <f t="shared" si="0"/>
        <v>104.24369999999999</v>
      </c>
      <c r="Y2" s="189">
        <f t="shared" si="0"/>
        <v>106.12008660000001</v>
      </c>
      <c r="Z2" s="189">
        <f t="shared" si="0"/>
        <v>107.92412807219999</v>
      </c>
      <c r="AA2" s="189">
        <f t="shared" si="0"/>
        <v>109.75883824942738</v>
      </c>
      <c r="AB2" s="189">
        <f t="shared" si="0"/>
        <v>111.95401501441593</v>
      </c>
      <c r="AC2" s="189">
        <f t="shared" si="0"/>
        <v>114.19309531470425</v>
      </c>
      <c r="AD2" s="189">
        <f t="shared" si="0"/>
        <v>116.47695722099834</v>
      </c>
      <c r="AE2" s="189">
        <f t="shared" si="0"/>
        <v>118.80649636541831</v>
      </c>
    </row>
    <row r="4" spans="1:31">
      <c r="B4" s="188"/>
      <c r="R4" s="188"/>
      <c r="S4" s="188"/>
      <c r="T4" s="188"/>
      <c r="U4" s="188"/>
      <c r="V4" s="188"/>
      <c r="W4" s="188"/>
      <c r="X4" s="188"/>
    </row>
    <row r="5" spans="1:31">
      <c r="B5" s="188"/>
      <c r="R5" s="188"/>
      <c r="S5" s="188"/>
      <c r="T5" s="188"/>
      <c r="U5" s="188"/>
      <c r="V5" s="188"/>
      <c r="W5" s="188"/>
      <c r="X5" s="188"/>
      <c r="Z5" s="190"/>
      <c r="AA5" s="190"/>
      <c r="AB5" s="190"/>
      <c r="AC5" s="190"/>
      <c r="AD5" s="190"/>
      <c r="AE5" s="190"/>
    </row>
    <row r="6" spans="1:31">
      <c r="A6" s="187" t="s">
        <v>240</v>
      </c>
      <c r="B6" s="191">
        <v>66.680999999999997</v>
      </c>
      <c r="C6" s="191">
        <v>68.120999999999995</v>
      </c>
      <c r="D6" s="191">
        <v>69.103999999999999</v>
      </c>
      <c r="E6" s="191">
        <v>70.998000000000005</v>
      </c>
      <c r="F6" s="191">
        <v>72.39</v>
      </c>
      <c r="G6" s="191">
        <v>71.614000000000004</v>
      </c>
      <c r="H6" s="191">
        <v>72.981999999999999</v>
      </c>
      <c r="I6" s="191">
        <v>74.42</v>
      </c>
      <c r="J6" s="191">
        <v>74.944999999999993</v>
      </c>
      <c r="K6" s="191">
        <v>76.983999999999995</v>
      </c>
      <c r="L6" s="191">
        <v>78.775000000000006</v>
      </c>
      <c r="M6" s="191">
        <v>80.301000000000002</v>
      </c>
      <c r="N6" s="191">
        <v>82.518000000000001</v>
      </c>
      <c r="O6" s="191">
        <v>84.025000000000006</v>
      </c>
      <c r="P6" s="191">
        <v>86.438999999999993</v>
      </c>
      <c r="Q6" s="191">
        <v>88.611999999999995</v>
      </c>
      <c r="R6" s="191">
        <v>91.096000000000004</v>
      </c>
      <c r="S6" s="191">
        <v>93.611000000000004</v>
      </c>
      <c r="T6" s="191">
        <v>96.055999999999997</v>
      </c>
      <c r="U6" s="191">
        <v>98.262</v>
      </c>
      <c r="V6" s="192">
        <v>100</v>
      </c>
      <c r="W6" s="192">
        <v>102.3</v>
      </c>
      <c r="X6" s="192">
        <f>((102.3/100)*1.9)+102.3</f>
        <v>104.24369999999999</v>
      </c>
      <c r="Y6" s="192">
        <f>((104.2437/100)*1.8)+104.2437</f>
        <v>106.12008660000001</v>
      </c>
      <c r="Z6" s="193">
        <f>Y6*1.017</f>
        <v>107.92412807219999</v>
      </c>
      <c r="AA6" s="193">
        <f>Z6*1.017</f>
        <v>109.75883824942738</v>
      </c>
      <c r="AB6" s="193">
        <f>AA6*1.02</f>
        <v>111.95401501441593</v>
      </c>
      <c r="AC6" s="193">
        <f>AB6*1.02</f>
        <v>114.19309531470425</v>
      </c>
      <c r="AD6" s="193">
        <f>AC6*1.02</f>
        <v>116.47695722099834</v>
      </c>
      <c r="AE6" s="193">
        <f>AD6*1.02</f>
        <v>118.80649636541831</v>
      </c>
    </row>
    <row r="7" spans="1:31">
      <c r="A7" s="187" t="s">
        <v>234</v>
      </c>
      <c r="B7" s="194">
        <v>138.5</v>
      </c>
      <c r="C7" s="194">
        <v>140.69999999999999</v>
      </c>
      <c r="D7" s="194">
        <v>144.1</v>
      </c>
      <c r="E7" s="194">
        <v>149.1</v>
      </c>
      <c r="F7" s="194">
        <v>152.69999999999999</v>
      </c>
      <c r="G7" s="194">
        <v>157.5</v>
      </c>
      <c r="H7" s="194">
        <v>162.9</v>
      </c>
      <c r="I7" s="194">
        <v>165.4</v>
      </c>
      <c r="J7" s="194">
        <v>170.3</v>
      </c>
      <c r="K7" s="194">
        <v>173.3</v>
      </c>
      <c r="L7" s="194">
        <v>176.2</v>
      </c>
      <c r="M7" s="194">
        <v>181.3</v>
      </c>
      <c r="N7" s="194">
        <v>186.7</v>
      </c>
      <c r="O7" s="195">
        <v>192</v>
      </c>
      <c r="P7" s="194">
        <v>198.1</v>
      </c>
      <c r="Q7" s="194">
        <v>206.6</v>
      </c>
      <c r="R7" s="194">
        <v>214.8</v>
      </c>
      <c r="S7" s="194">
        <v>213.7</v>
      </c>
      <c r="T7" s="194">
        <v>223.6</v>
      </c>
      <c r="U7" s="195">
        <v>235.2</v>
      </c>
      <c r="V7" s="196">
        <v>242.02999999999997</v>
      </c>
      <c r="W7" s="197">
        <f t="shared" ref="W7:Z8" si="1">V7*(1+(W18/100))</f>
        <v>247.717705</v>
      </c>
      <c r="X7" s="197">
        <f t="shared" si="1"/>
        <v>253.97257705125</v>
      </c>
      <c r="Y7" s="197">
        <f t="shared" si="1"/>
        <v>263.2425761136206</v>
      </c>
      <c r="Z7" s="197">
        <f t="shared" si="1"/>
        <v>273.70646851413699</v>
      </c>
      <c r="AA7" s="198">
        <f>Z7*1.03</f>
        <v>281.91766256956112</v>
      </c>
      <c r="AB7" s="198">
        <f>AA7*1.03</f>
        <v>290.37519244664793</v>
      </c>
      <c r="AC7" s="198">
        <f>AB7*1.03</f>
        <v>299.08644822004737</v>
      </c>
      <c r="AD7" s="198">
        <f>AC7*1.03</f>
        <v>308.0590416666488</v>
      </c>
      <c r="AE7" s="198">
        <f>AD7*1.03</f>
        <v>317.30081291664828</v>
      </c>
    </row>
    <row r="8" spans="1:31">
      <c r="A8" s="187" t="s">
        <v>233</v>
      </c>
      <c r="B8" s="199"/>
      <c r="C8" s="200"/>
      <c r="D8" s="200"/>
      <c r="E8" s="200"/>
      <c r="F8" s="194">
        <v>88.1</v>
      </c>
      <c r="G8" s="194">
        <v>89.7</v>
      </c>
      <c r="H8" s="194">
        <v>91.1</v>
      </c>
      <c r="I8" s="194">
        <v>92.3</v>
      </c>
      <c r="J8" s="194">
        <v>93.1</v>
      </c>
      <c r="K8" s="194">
        <v>94.2</v>
      </c>
      <c r="L8" s="194">
        <v>95.4</v>
      </c>
      <c r="M8" s="194">
        <v>96.7</v>
      </c>
      <c r="N8" s="195">
        <v>98</v>
      </c>
      <c r="O8" s="195">
        <v>100</v>
      </c>
      <c r="P8" s="194">
        <v>102.3</v>
      </c>
      <c r="Q8" s="194">
        <v>104.7</v>
      </c>
      <c r="R8" s="194">
        <v>108.5</v>
      </c>
      <c r="S8" s="194">
        <v>110.8</v>
      </c>
      <c r="T8" s="194">
        <v>114.5</v>
      </c>
      <c r="U8" s="194">
        <v>119.6</v>
      </c>
      <c r="V8" s="196">
        <v>122.63999999999999</v>
      </c>
      <c r="W8" s="197">
        <f t="shared" si="1"/>
        <v>125.00081999999999</v>
      </c>
      <c r="X8" s="197">
        <f t="shared" si="1"/>
        <v>127.40708578499999</v>
      </c>
      <c r="Y8" s="197">
        <f t="shared" si="1"/>
        <v>129.9552275007</v>
      </c>
      <c r="Z8" s="197">
        <f t="shared" si="1"/>
        <v>132.55433205071401</v>
      </c>
      <c r="AA8" s="198">
        <f>Z8*1.02</f>
        <v>135.20541869172828</v>
      </c>
      <c r="AB8" s="198">
        <f>AA8*1.02</f>
        <v>137.90952706556286</v>
      </c>
      <c r="AC8" s="198">
        <f>AB8*1.02</f>
        <v>140.66771760687411</v>
      </c>
      <c r="AD8" s="198">
        <f>AC8*1.02</f>
        <v>143.48107195901159</v>
      </c>
      <c r="AE8" s="198">
        <f>AD8*1.02</f>
        <v>146.35069339819182</v>
      </c>
    </row>
    <row r="9" spans="1:31">
      <c r="B9" s="188"/>
      <c r="R9" s="188"/>
      <c r="S9" s="188"/>
      <c r="T9" s="188"/>
      <c r="U9" s="188"/>
      <c r="V9" s="199"/>
      <c r="W9" s="199"/>
      <c r="X9" s="199"/>
      <c r="Y9" s="200"/>
      <c r="Z9" s="200"/>
    </row>
    <row r="10" spans="1:31">
      <c r="A10" s="233" t="s">
        <v>992</v>
      </c>
      <c r="B10" s="233"/>
      <c r="C10" s="233"/>
      <c r="D10" s="233"/>
      <c r="E10" s="233"/>
      <c r="F10" s="233"/>
      <c r="G10" s="233"/>
      <c r="H10" s="233"/>
      <c r="I10" s="233"/>
      <c r="R10" s="188"/>
      <c r="S10" s="188"/>
      <c r="T10" s="188"/>
      <c r="U10" s="188"/>
      <c r="V10" s="199"/>
      <c r="W10" s="199"/>
      <c r="X10" s="199"/>
      <c r="Y10" s="200"/>
      <c r="Z10" s="200"/>
    </row>
    <row r="11" spans="1:31">
      <c r="A11" s="317" t="s">
        <v>993</v>
      </c>
      <c r="B11" s="317"/>
      <c r="C11" s="317"/>
      <c r="D11" s="317"/>
      <c r="E11" s="317"/>
      <c r="F11" s="317"/>
      <c r="G11" s="317"/>
      <c r="H11" s="317"/>
      <c r="I11" s="317"/>
      <c r="R11" s="188"/>
      <c r="S11" s="188"/>
      <c r="T11" s="188"/>
      <c r="U11" s="188"/>
      <c r="V11" s="199"/>
      <c r="W11" s="199"/>
      <c r="X11" s="199"/>
      <c r="Y11" s="200"/>
      <c r="Z11" s="200"/>
    </row>
    <row r="12" spans="1:31">
      <c r="B12" s="188"/>
      <c r="R12" s="188"/>
      <c r="S12" s="188"/>
      <c r="T12" s="188"/>
      <c r="U12" s="188"/>
      <c r="V12" s="199"/>
      <c r="W12" s="199"/>
      <c r="X12" s="199"/>
      <c r="Y12" s="200"/>
      <c r="Z12" s="200"/>
    </row>
    <row r="13" spans="1:31">
      <c r="L13" s="187" t="s">
        <v>164</v>
      </c>
      <c r="M13" s="187" t="s">
        <v>270</v>
      </c>
      <c r="V13" s="200"/>
      <c r="W13" s="200"/>
      <c r="X13" s="200"/>
      <c r="Y13" s="200"/>
      <c r="Z13" s="200"/>
    </row>
    <row r="14" spans="1:31">
      <c r="A14" s="201" t="s">
        <v>239</v>
      </c>
      <c r="B14" s="201" t="s">
        <v>249</v>
      </c>
      <c r="E14" s="202"/>
      <c r="L14" s="187" t="s">
        <v>271</v>
      </c>
      <c r="M14" s="187" t="s">
        <v>249</v>
      </c>
      <c r="V14" s="200"/>
      <c r="W14" s="200"/>
      <c r="X14" s="200"/>
      <c r="Y14" s="200"/>
      <c r="Z14" s="200"/>
    </row>
    <row r="15" spans="1:31">
      <c r="A15" s="201" t="s">
        <v>238</v>
      </c>
      <c r="B15" s="201" t="s">
        <v>237</v>
      </c>
      <c r="D15" s="187" t="s">
        <v>236</v>
      </c>
      <c r="E15" s="202"/>
      <c r="V15" s="200"/>
      <c r="W15" s="200"/>
      <c r="X15" s="200"/>
      <c r="Y15" s="200"/>
      <c r="Z15" s="200"/>
    </row>
    <row r="16" spans="1:31">
      <c r="E16" s="202"/>
      <c r="V16" s="200"/>
      <c r="W16" s="200"/>
      <c r="X16" s="200"/>
      <c r="Y16" s="200"/>
      <c r="Z16" s="200"/>
    </row>
    <row r="17" spans="1:26">
      <c r="A17" s="201" t="s">
        <v>235</v>
      </c>
      <c r="B17" s="187">
        <f>INDEX(B1:AE2,2,MATCH(_baseyear,B1:AE1))</f>
        <v>100</v>
      </c>
      <c r="E17" s="202"/>
      <c r="V17" s="200"/>
      <c r="W17" s="200">
        <v>2013</v>
      </c>
      <c r="X17" s="200">
        <v>2014</v>
      </c>
      <c r="Y17" s="200">
        <v>2015</v>
      </c>
      <c r="Z17" s="200">
        <v>2016</v>
      </c>
    </row>
    <row r="18" spans="1:26">
      <c r="E18" s="202"/>
      <c r="V18" s="200" t="s">
        <v>234</v>
      </c>
      <c r="W18" s="200">
        <v>2.35</v>
      </c>
      <c r="X18" s="200">
        <v>2.5249999999999999</v>
      </c>
      <c r="Y18" s="200">
        <v>3.6500000000000004</v>
      </c>
      <c r="Z18" s="200">
        <v>3.9750000000000001</v>
      </c>
    </row>
    <row r="19" spans="1:26">
      <c r="V19" s="200" t="s">
        <v>233</v>
      </c>
      <c r="W19" s="200">
        <v>1.9249999999999998</v>
      </c>
      <c r="X19" s="200">
        <v>1.9249999999999998</v>
      </c>
      <c r="Y19" s="200">
        <v>2</v>
      </c>
      <c r="Z19" s="200">
        <v>2</v>
      </c>
    </row>
    <row r="21" spans="1:26">
      <c r="A21" s="207"/>
      <c r="B21" s="209"/>
      <c r="C21" s="226"/>
      <c r="D21" s="226"/>
      <c r="E21" s="226"/>
      <c r="F21" s="226"/>
      <c r="G21" s="226"/>
      <c r="H21" s="226"/>
      <c r="I21" s="226"/>
      <c r="J21" s="226"/>
    </row>
    <row r="22" spans="1:26">
      <c r="A22" s="207"/>
      <c r="B22" s="209"/>
      <c r="C22" s="227"/>
      <c r="D22" s="228"/>
      <c r="E22" s="228"/>
      <c r="F22" s="228"/>
      <c r="G22" s="228"/>
      <c r="H22" s="228"/>
      <c r="I22" s="228"/>
      <c r="J22" s="228"/>
    </row>
    <row r="23" spans="1:26">
      <c r="A23" s="207"/>
      <c r="B23" s="209"/>
      <c r="C23" s="229"/>
      <c r="D23" s="229"/>
      <c r="E23" s="229"/>
      <c r="F23" s="229"/>
      <c r="G23" s="229"/>
      <c r="H23" s="229"/>
      <c r="I23" s="229"/>
      <c r="J23" s="229"/>
    </row>
    <row r="24" spans="1:26">
      <c r="A24" s="207"/>
      <c r="B24" s="209"/>
      <c r="C24" s="226"/>
      <c r="D24" s="226"/>
      <c r="E24" s="226"/>
      <c r="F24" s="226"/>
      <c r="G24" s="226"/>
      <c r="H24" s="226"/>
      <c r="I24" s="226"/>
      <c r="J24" s="226"/>
    </row>
    <row r="25" spans="1:26">
      <c r="A25" s="207"/>
      <c r="B25" s="209"/>
      <c r="C25" s="226"/>
      <c r="D25" s="226"/>
      <c r="E25" s="226"/>
      <c r="F25" s="226"/>
      <c r="G25" s="226"/>
      <c r="H25" s="226"/>
      <c r="I25" s="226"/>
      <c r="J25" s="226"/>
    </row>
    <row r="26" spans="1:26">
      <c r="A26" s="207"/>
      <c r="B26" s="209"/>
      <c r="C26" s="217"/>
      <c r="D26" s="210"/>
      <c r="E26" s="211"/>
      <c r="F26" s="208"/>
      <c r="G26" s="218"/>
      <c r="H26" s="219"/>
      <c r="I26" s="220"/>
      <c r="J26" s="212"/>
    </row>
    <row r="27" spans="1:26" ht="15">
      <c r="A27" s="207"/>
      <c r="B27" s="213"/>
      <c r="C27" s="222"/>
      <c r="D27" s="222"/>
      <c r="E27" s="222"/>
      <c r="F27" s="222"/>
      <c r="G27" s="222"/>
      <c r="H27" s="222"/>
      <c r="I27" s="222"/>
      <c r="J27" s="222"/>
    </row>
    <row r="28" spans="1:26" ht="15">
      <c r="A28" s="207"/>
      <c r="B28" s="213"/>
      <c r="C28" s="223"/>
      <c r="D28" s="223"/>
      <c r="E28" s="223"/>
      <c r="F28" s="223"/>
      <c r="G28" s="223"/>
      <c r="H28" s="223"/>
      <c r="I28" s="223"/>
      <c r="J28" s="223"/>
    </row>
    <row r="29" spans="1:26" ht="15">
      <c r="A29" s="207"/>
      <c r="B29" s="213"/>
      <c r="C29" s="224"/>
      <c r="D29" s="224"/>
      <c r="E29" s="224"/>
      <c r="F29" s="224"/>
      <c r="G29" s="224"/>
      <c r="H29" s="224"/>
      <c r="I29" s="224"/>
      <c r="J29" s="224"/>
    </row>
    <row r="30" spans="1:26">
      <c r="A30" s="207"/>
      <c r="B30" s="207"/>
      <c r="C30" s="225"/>
      <c r="D30" s="225"/>
      <c r="E30" s="225"/>
      <c r="F30" s="225"/>
      <c r="G30" s="225"/>
      <c r="H30" s="225"/>
      <c r="I30" s="225"/>
      <c r="J30" s="225"/>
    </row>
    <row r="31" spans="1:26">
      <c r="A31" s="207"/>
      <c r="B31" s="207"/>
      <c r="C31" s="214"/>
      <c r="D31" s="215"/>
      <c r="E31" s="216"/>
      <c r="F31" s="207"/>
      <c r="G31" s="203"/>
      <c r="H31" s="204"/>
      <c r="I31" s="205"/>
      <c r="J31" s="206"/>
    </row>
  </sheetData>
  <mergeCells count="1">
    <mergeCell ref="A11:I11"/>
  </mergeCells>
  <pageMargins left="0.74803149606299213" right="0.74803149606299213" top="0.98425196850393704" bottom="0.98425196850393704" header="0.51181102362204722" footer="0.51181102362204722"/>
  <pageSetup paperSize="9" scale="53" orientation="landscape" r:id="rId1"/>
  <headerFooter alignWithMargins="0">
    <oddHeader>&amp;C&amp;"Calibri,"&amp;11&amp;K000000UNCLASSIFIED&amp;""</oddHeader>
    <oddFooter>&amp;C&amp;"Calibri,"&amp;11&amp;K000000UNCLASSIFIED&amp;""</oddFooter>
  </headerFooter>
  <ignoredErrors>
    <ignoredError sqref="AA7:AE7" formula="1"/>
  </ignoredErrors>
  <tableParts count="2">
    <tablePart r:id="rId2"/>
    <tablePart r:id="rId3"/>
  </tableParts>
</worksheet>
</file>

<file path=xl/worksheets/sheet5.xml><?xml version="1.0" encoding="utf-8"?>
<worksheet xmlns="http://schemas.openxmlformats.org/spreadsheetml/2006/main" xmlns:r="http://schemas.openxmlformats.org/officeDocument/2006/relationships">
  <sheetPr codeName="Sheet18">
    <tabColor rgb="FF00B0F0"/>
  </sheetPr>
  <dimension ref="A1:G12"/>
  <sheetViews>
    <sheetView showGridLines="0" topLeftCell="A7" zoomScale="80" zoomScaleNormal="80" zoomScaleSheetLayoutView="100" workbookViewId="0">
      <selection activeCell="B11" sqref="B11"/>
    </sheetView>
  </sheetViews>
  <sheetFormatPr defaultRowHeight="15"/>
  <cols>
    <col min="1" max="1" width="20.85546875" style="266" customWidth="1"/>
    <col min="2" max="2" width="135.42578125" style="266" customWidth="1"/>
    <col min="3" max="16384" width="9.140625" style="266"/>
  </cols>
  <sheetData>
    <row r="1" spans="1:7" s="282" customFormat="1" ht="38.25" customHeight="1">
      <c r="A1" s="281" t="s">
        <v>1332</v>
      </c>
    </row>
    <row r="2" spans="1:7" ht="41.25" customHeight="1">
      <c r="A2" s="269" t="s">
        <v>1338</v>
      </c>
      <c r="B2" s="270" t="s">
        <v>1339</v>
      </c>
    </row>
    <row r="3" spans="1:7" ht="97.5" customHeight="1">
      <c r="A3" s="273" t="s">
        <v>231</v>
      </c>
      <c r="B3" s="270" t="s">
        <v>1331</v>
      </c>
    </row>
    <row r="4" spans="1:7" ht="83.25" customHeight="1">
      <c r="A4" s="269" t="s">
        <v>30</v>
      </c>
      <c r="B4" s="270" t="s">
        <v>1342</v>
      </c>
      <c r="C4" s="267"/>
    </row>
    <row r="5" spans="1:7" s="265" customFormat="1" ht="20.25" customHeight="1">
      <c r="A5" s="274" t="s">
        <v>1242</v>
      </c>
      <c r="B5" s="270" t="s">
        <v>1343</v>
      </c>
      <c r="C5" s="268"/>
      <c r="D5" s="268"/>
      <c r="E5" s="268"/>
      <c r="F5" s="268"/>
      <c r="G5" s="268"/>
    </row>
    <row r="6" spans="1:7" s="265" customFormat="1" ht="32.25" customHeight="1">
      <c r="A6" s="269" t="s">
        <v>1124</v>
      </c>
      <c r="B6" s="270" t="s">
        <v>1249</v>
      </c>
      <c r="C6" s="268"/>
      <c r="D6" s="268"/>
      <c r="E6" s="268"/>
      <c r="F6" s="268"/>
      <c r="G6" s="268"/>
    </row>
    <row r="7" spans="1:7" s="265" customFormat="1" ht="71.25" customHeight="1">
      <c r="A7" s="269" t="s">
        <v>629</v>
      </c>
      <c r="B7" s="272" t="s">
        <v>1288</v>
      </c>
      <c r="C7" s="268"/>
      <c r="D7" s="268"/>
      <c r="E7" s="268"/>
      <c r="F7" s="268"/>
      <c r="G7" s="268"/>
    </row>
    <row r="8" spans="1:7" s="265" customFormat="1" ht="28.5" customHeight="1">
      <c r="A8" s="274" t="s">
        <v>169</v>
      </c>
      <c r="B8" s="270" t="s">
        <v>1340</v>
      </c>
      <c r="C8" s="268"/>
      <c r="D8" s="268"/>
      <c r="E8" s="268"/>
      <c r="F8" s="268"/>
      <c r="G8" s="268"/>
    </row>
    <row r="9" spans="1:7" ht="45">
      <c r="A9" s="274" t="s">
        <v>1327</v>
      </c>
      <c r="B9" s="271" t="s">
        <v>1344</v>
      </c>
      <c r="C9" s="267"/>
    </row>
    <row r="10" spans="1:7" ht="27.75" customHeight="1">
      <c r="A10" s="269" t="s">
        <v>38</v>
      </c>
      <c r="B10" s="270" t="s">
        <v>1341</v>
      </c>
      <c r="C10" s="267"/>
    </row>
    <row r="11" spans="1:7" ht="60">
      <c r="A11" s="269" t="s">
        <v>42</v>
      </c>
      <c r="B11" s="272" t="s">
        <v>1282</v>
      </c>
      <c r="C11" s="267"/>
    </row>
    <row r="12" spans="1:7" ht="144.75" customHeight="1">
      <c r="A12" s="269" t="s">
        <v>735</v>
      </c>
      <c r="B12" s="26" t="s">
        <v>1328</v>
      </c>
      <c r="C12" s="267"/>
    </row>
  </sheetData>
  <pageMargins left="0.70866141732283472" right="0.70866141732283472" top="0.74803149606299213" bottom="0.74803149606299213" header="0.31496062992125984" footer="0.31496062992125984"/>
  <pageSetup paperSize="9" scale="44" fitToHeight="0" orientation="landscape" r:id="rId1"/>
  <headerFooter>
    <oddHeader>&amp;L&amp;12Government construction pipeline April 2012 update</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8CC88BC0-9876-4909-B734-C3C90C81A9F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Introduction</vt:lpstr>
      <vt:lpstr>Sector_Breakdown</vt:lpstr>
      <vt:lpstr>Infrastructure pipeline</vt:lpstr>
      <vt:lpstr>Indexation data</vt:lpstr>
      <vt:lpstr>Additional Notes</vt:lpstr>
      <vt:lpstr>_baseindex</vt:lpstr>
      <vt:lpstr>_baseyear</vt:lpstr>
      <vt:lpstr>'Indexation data'!_deflator</vt:lpstr>
      <vt:lpstr>NIP2013_Pipeline</vt:lpstr>
      <vt:lpstr>'Additional Notes'!Print_Area</vt:lpstr>
      <vt:lpstr>Introduction!Print_Area</vt:lpstr>
      <vt:lpstr>'Infrastructure pipeline'!Print_Titles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2011-11-28T19:45:28Z</dcterms:created>
  <dcterms:modified xsi:type="dcterms:W3CDTF">2013-12-04T16:05:03Z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43859df2-d9f5-4460-b562-f0d5d397837e</vt:lpwstr>
  </property>
</Properties>
</file>