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795" windowWidth="9600" windowHeight="9315" tabRatio="398" firstSheet="1" activeTab="1"/>
  </bookViews>
  <sheets>
    <sheet name="Deposit Calc" sheetId="1" state="hidden" r:id="rId1"/>
    <sheet name="Headline" sheetId="2" r:id="rId2"/>
    <sheet name="check share levels" sheetId="3" r:id="rId3"/>
  </sheets>
  <externalReferences>
    <externalReference r:id="rId6"/>
  </externalReferences>
  <definedNames>
    <definedName name="Headers">#REF!</definedName>
    <definedName name="if">#REF!</definedName>
    <definedName name="IFA_addresses">#REF!</definedName>
    <definedName name="IFAs">#REF!</definedName>
    <definedName name="_xlnm.Print_Area" localSheetId="1">'Headline'!$A$2:$N$42</definedName>
    <definedName name="te">#REF!</definedName>
    <definedName name="ValidIFAs">'[1]Sheet1'!$A$3:$A$6</definedName>
    <definedName name="ValidSwayofficer">'[1]Sheet1'!$B$3:$B$6</definedName>
    <definedName name="yu">#REF!</definedName>
  </definedNames>
  <calcPr fullCalcOnLoad="1"/>
</workbook>
</file>

<file path=xl/sharedStrings.xml><?xml version="1.0" encoding="utf-8"?>
<sst xmlns="http://schemas.openxmlformats.org/spreadsheetml/2006/main" count="96" uniqueCount="85">
  <si>
    <t>Forename</t>
  </si>
  <si>
    <t>Surname</t>
  </si>
  <si>
    <t>Mortgage interest rate:</t>
  </si>
  <si>
    <t>Overtime, Bonuses &amp; Commissions:</t>
  </si>
  <si>
    <t>Working tax credits</t>
  </si>
  <si>
    <t>Child tax credits</t>
  </si>
  <si>
    <t>Child benefit</t>
  </si>
  <si>
    <t>Disability allowance</t>
  </si>
  <si>
    <t>Guaranteed maintenance income</t>
  </si>
  <si>
    <t>Other income</t>
  </si>
  <si>
    <t>DoB</t>
  </si>
  <si>
    <t>Client % Purchased</t>
  </si>
  <si>
    <t>Mortgage amount</t>
  </si>
  <si>
    <t>Sufficient deposit for lender?</t>
  </si>
  <si>
    <t>Mortgage (pcm)</t>
  </si>
  <si>
    <t>Monthly rent (pcm)</t>
  </si>
  <si>
    <t>Service charge (pcm)</t>
  </si>
  <si>
    <t>Total monthly cost (pcm)</t>
  </si>
  <si>
    <t>Rent on unsold equity %</t>
  </si>
  <si>
    <t>Annual service charge £</t>
  </si>
  <si>
    <t>Total monthly loan/HP payments:</t>
  </si>
  <si>
    <t>Total outstanding credit card balances:</t>
  </si>
  <si>
    <t>APPLICANT</t>
  </si>
  <si>
    <t>DEBT</t>
  </si>
  <si>
    <t>MORTGAGE AND DEPOSIT</t>
  </si>
  <si>
    <t>Additional household Income (monthly):</t>
  </si>
  <si>
    <t>Address:</t>
  </si>
  <si>
    <t>Home:</t>
  </si>
  <si>
    <t>Mobile:</t>
  </si>
  <si>
    <t>Total value</t>
  </si>
  <si>
    <t>Customer Deposit/ Equity</t>
  </si>
  <si>
    <t>Share value</t>
  </si>
  <si>
    <t>Number of children</t>
  </si>
  <si>
    <t>Proposed purchase property:</t>
  </si>
  <si>
    <t>Full market value</t>
  </si>
  <si>
    <t>Number of bedrooms</t>
  </si>
  <si>
    <t>Applicants' deposit</t>
  </si>
  <si>
    <t>Total share to purchase</t>
  </si>
  <si>
    <t>Customer Deposit</t>
  </si>
  <si>
    <t>YES</t>
  </si>
  <si>
    <t>deposit</t>
  </si>
  <si>
    <t>inc mult</t>
  </si>
  <si>
    <t>debt</t>
  </si>
  <si>
    <t>all</t>
  </si>
  <si>
    <t>NO</t>
  </si>
  <si>
    <t>INCOME</t>
  </si>
  <si>
    <t>PROPERTY</t>
  </si>
  <si>
    <t>PML</t>
  </si>
  <si>
    <t>Total Contribution</t>
  </si>
  <si>
    <t>Actual Purchase Price</t>
  </si>
  <si>
    <t>Max PML</t>
  </si>
  <si>
    <t>Deposit</t>
  </si>
  <si>
    <t>15% Deposit</t>
  </si>
  <si>
    <t>Max Contribution (75%)</t>
  </si>
  <si>
    <t>Min Contribution (25%)</t>
  </si>
  <si>
    <t>Min PML</t>
  </si>
  <si>
    <t>all (ignore deposit)</t>
  </si>
  <si>
    <t>Gross annual household income (from employment):</t>
  </si>
  <si>
    <t>upper tax</t>
  </si>
  <si>
    <t>tax free</t>
  </si>
  <si>
    <t>lower tax</t>
  </si>
  <si>
    <t>NI</t>
  </si>
  <si>
    <t>NI free</t>
  </si>
  <si>
    <t>Upper NI rate</t>
  </si>
  <si>
    <t>Net annual household income (from employment):</t>
  </si>
  <si>
    <t>Total additional annual income (from other sources)</t>
  </si>
  <si>
    <t>Maximum income multiple used:</t>
  </si>
  <si>
    <t xml:space="preserve">Total maximum contribution available: </t>
  </si>
  <si>
    <t>Other gross salary MONTHLY deductions (childcare vouchers, pension etc.)</t>
  </si>
  <si>
    <t xml:space="preserve">Student loan MONTHLY payment </t>
  </si>
  <si>
    <t>Debt to net household income ratio</t>
  </si>
  <si>
    <t>Income multiple (gross)</t>
  </si>
  <si>
    <t>Income multiple (gross annual household income)</t>
  </si>
  <si>
    <t>Total monthly payments (pcm)</t>
  </si>
  <si>
    <t>Total monthly payments to net mortgageable household income ratio</t>
  </si>
  <si>
    <t>Mortgage term required</t>
  </si>
  <si>
    <t>App 1 basic employment income (annual, gross):</t>
  </si>
  <si>
    <t>App 2 basic employment income (annual, gross):</t>
  </si>
  <si>
    <t>Shared Ownership initial eligibility and sustainability assessment</t>
  </si>
  <si>
    <t>TOTAL GROSS ANNUAL HOUSEHOLD INCOME (from all sources)</t>
  </si>
  <si>
    <t>TOTAL NET ANNUAL HOUSEHOLD INCOME (from all sources)</t>
  </si>
  <si>
    <t>Net mortgageable household income (after debts):</t>
  </si>
  <si>
    <t>Maximum mortgage available (gross household income):</t>
  </si>
  <si>
    <t>Total allowable monthly income</t>
  </si>
  <si>
    <t>Please complete grey boxes as appropriate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</si>
</sst>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dd/mm/yyyy;@"/>
    <numFmt numFmtId="167" formatCode="#,##0_ ;[Red]\-#,##0\ "/>
    <numFmt numFmtId="168" formatCode="_-[$£-809]* #,##0.00_-;\-[$£-809]* #,##0.00_-;_-[$£-809]* &quot;-&quot;??_-;_-@_-"/>
    <numFmt numFmtId="169" formatCode="_-[$£-809]* #,##0.0_-;\-[$£-809]* #,##0.0_-;_-[$£-809]* &quot;-&quot;??_-;_-@_-"/>
    <numFmt numFmtId="170" formatCode="_-[$£-809]* #,##0_-;\-[$£-809]* #,##0_-;_-[$£-809]* &quot;-&quot;??_-;_-@_-"/>
    <numFmt numFmtId="171" formatCode="[$-809]dd\ mmmm\ yyyy"/>
    <numFmt numFmtId="172" formatCode="&quot;£&quot;#,##0.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7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4" fontId="8" fillId="0" borderId="12" xfId="44" applyFont="1" applyBorder="1" applyAlignment="1">
      <alignment/>
    </xf>
    <xf numFmtId="0" fontId="0" fillId="0" borderId="13" xfId="0" applyBorder="1" applyAlignment="1">
      <alignment/>
    </xf>
    <xf numFmtId="44" fontId="0" fillId="0" borderId="14" xfId="44" applyFont="1" applyBorder="1" applyAlignment="1">
      <alignment/>
    </xf>
    <xf numFmtId="0" fontId="0" fillId="0" borderId="15" xfId="0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9" fontId="0" fillId="0" borderId="0" xfId="58" applyFont="1" applyAlignment="1">
      <alignment/>
    </xf>
    <xf numFmtId="0" fontId="8" fillId="0" borderId="12" xfId="0" applyFont="1" applyBorder="1" applyAlignment="1">
      <alignment/>
    </xf>
    <xf numFmtId="9" fontId="0" fillId="0" borderId="13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wrapText="1" shrinkToFit="1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10" fillId="33" borderId="21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center" vertical="center" textRotation="90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 textRotation="90" wrapText="1"/>
      <protection/>
    </xf>
    <xf numFmtId="0" fontId="5" fillId="33" borderId="0" xfId="0" applyFont="1" applyFill="1" applyAlignment="1" applyProtection="1">
      <alignment vertical="center" textRotation="90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horizontal="right" vertical="center"/>
      <protection/>
    </xf>
    <xf numFmtId="0" fontId="5" fillId="33" borderId="25" xfId="0" applyFont="1" applyFill="1" applyBorder="1" applyAlignment="1" applyProtection="1">
      <alignment horizontal="right" vertical="center"/>
      <protection/>
    </xf>
    <xf numFmtId="0" fontId="5" fillId="33" borderId="26" xfId="0" applyFont="1" applyFill="1" applyBorder="1" applyAlignment="1" applyProtection="1">
      <alignment horizontal="right" vertical="center"/>
      <protection/>
    </xf>
    <xf numFmtId="8" fontId="6" fillId="33" borderId="0" xfId="0" applyNumberFormat="1" applyFont="1" applyFill="1" applyBorder="1" applyAlignment="1" applyProtection="1">
      <alignment vertical="center" wrapText="1"/>
      <protection/>
    </xf>
    <xf numFmtId="9" fontId="6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Alignment="1">
      <alignment horizont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65" fontId="5" fillId="33" borderId="0" xfId="52" applyNumberFormat="1" applyFont="1" applyFill="1" applyBorder="1" applyAlignment="1" applyProtection="1">
      <alignment horizontal="left" vertical="center" wrapText="1" shrinkToFit="1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left" vertical="center" wrapText="1" shrinkToFi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left" vertical="center" wrapText="1" shrinkToFit="1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49" fillId="33" borderId="25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49" fillId="33" borderId="25" xfId="0" applyFont="1" applyFill="1" applyBorder="1" applyAlignment="1" applyProtection="1">
      <alignment horizontal="right" vertical="center"/>
      <protection/>
    </xf>
    <xf numFmtId="6" fontId="0" fillId="33" borderId="0" xfId="0" applyNumberFormat="1" applyFont="1" applyFill="1" applyBorder="1" applyAlignment="1" applyProtection="1">
      <alignment vertical="center"/>
      <protection/>
    </xf>
    <xf numFmtId="164" fontId="0" fillId="33" borderId="0" xfId="0" applyNumberFormat="1" applyFont="1" applyFill="1" applyBorder="1" applyAlignment="1" applyProtection="1">
      <alignment vertical="center"/>
      <protection/>
    </xf>
    <xf numFmtId="9" fontId="0" fillId="33" borderId="0" xfId="0" applyNumberFormat="1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right" vertical="center"/>
      <protection/>
    </xf>
    <xf numFmtId="6" fontId="0" fillId="33" borderId="0" xfId="0" applyNumberFormat="1" applyFont="1" applyFill="1" applyAlignment="1" applyProtection="1">
      <alignment vertical="center"/>
      <protection/>
    </xf>
    <xf numFmtId="6" fontId="0" fillId="33" borderId="24" xfId="0" applyNumberFormat="1" applyFont="1" applyFill="1" applyBorder="1" applyAlignment="1" applyProtection="1">
      <alignment horizontal="righ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right" vertical="center"/>
      <protection/>
    </xf>
    <xf numFmtId="167" fontId="5" fillId="33" borderId="0" xfId="0" applyNumberFormat="1" applyFont="1" applyFill="1" applyAlignment="1" applyProtection="1">
      <alignment vertical="center"/>
      <protection/>
    </xf>
    <xf numFmtId="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right" vertical="center"/>
      <protection locked="0"/>
    </xf>
    <xf numFmtId="6" fontId="0" fillId="33" borderId="0" xfId="0" applyNumberFormat="1" applyFont="1" applyFill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 vertical="center"/>
      <protection locked="0"/>
    </xf>
    <xf numFmtId="164" fontId="0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9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10" fontId="0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/>
      <protection/>
    </xf>
    <xf numFmtId="9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65" fontId="0" fillId="33" borderId="0" xfId="0" applyNumberFormat="1" applyFont="1" applyFill="1" applyAlignment="1" applyProtection="1">
      <alignment vertical="center"/>
      <protection/>
    </xf>
    <xf numFmtId="4" fontId="5" fillId="33" borderId="0" xfId="0" applyNumberFormat="1" applyFont="1" applyFill="1" applyBorder="1" applyAlignment="1" applyProtection="1">
      <alignment vertical="center"/>
      <protection/>
    </xf>
    <xf numFmtId="165" fontId="5" fillId="33" borderId="0" xfId="0" applyNumberFormat="1" applyFont="1" applyFill="1" applyBorder="1" applyAlignment="1" applyProtection="1">
      <alignment vertical="center"/>
      <protection/>
    </xf>
    <xf numFmtId="9" fontId="5" fillId="33" borderId="0" xfId="0" applyNumberFormat="1" applyFont="1" applyFill="1" applyBorder="1" applyAlignment="1" applyProtection="1">
      <alignment vertical="center"/>
      <protection/>
    </xf>
    <xf numFmtId="8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horizontal="right" vertical="center"/>
      <protection/>
    </xf>
    <xf numFmtId="9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9" fontId="0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164" fontId="0" fillId="33" borderId="0" xfId="0" applyNumberFormat="1" applyFont="1" applyFill="1" applyAlignment="1" applyProtection="1">
      <alignment vertical="center"/>
      <protection/>
    </xf>
    <xf numFmtId="164" fontId="0" fillId="33" borderId="0" xfId="0" applyNumberFormat="1" applyFont="1" applyFill="1" applyAlignment="1" applyProtection="1">
      <alignment horizontal="left" vertical="center"/>
      <protection/>
    </xf>
    <xf numFmtId="9" fontId="0" fillId="33" borderId="0" xfId="0" applyNumberFormat="1" applyFont="1" applyFill="1" applyAlignment="1" applyProtection="1">
      <alignment horizontal="left" vertical="center"/>
      <protection/>
    </xf>
    <xf numFmtId="8" fontId="6" fillId="33" borderId="0" xfId="0" applyNumberFormat="1" applyFont="1" applyFill="1" applyBorder="1" applyAlignment="1" applyProtection="1">
      <alignment horizontal="left" vertical="center"/>
      <protection/>
    </xf>
    <xf numFmtId="8" fontId="7" fillId="33" borderId="0" xfId="0" applyNumberFormat="1" applyFont="1" applyFill="1" applyBorder="1" applyAlignment="1" applyProtection="1">
      <alignment vertical="center"/>
      <protection/>
    </xf>
    <xf numFmtId="165" fontId="7" fillId="33" borderId="0" xfId="0" applyNumberFormat="1" applyFont="1" applyFill="1" applyBorder="1" applyAlignment="1" applyProtection="1">
      <alignment vertical="center"/>
      <protection/>
    </xf>
    <xf numFmtId="2" fontId="0" fillId="33" borderId="0" xfId="0" applyNumberFormat="1" applyFont="1" applyFill="1" applyAlignment="1" applyProtection="1">
      <alignment horizontal="center" vertical="center"/>
      <protection/>
    </xf>
    <xf numFmtId="4" fontId="0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0" fontId="0" fillId="0" borderId="16" xfId="0" applyNumberFormat="1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 applyProtection="1">
      <alignment horizontal="center" vertical="center" wrapText="1" shrinkToFit="1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35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166" fontId="6" fillId="35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52" fillId="33" borderId="21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6" fillId="33" borderId="22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24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6" fillId="33" borderId="25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horizontal="right" vertical="center"/>
      <protection/>
    </xf>
    <xf numFmtId="0" fontId="6" fillId="33" borderId="30" xfId="0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right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2" fontId="6" fillId="0" borderId="31" xfId="0" applyNumberFormat="1" applyFont="1" applyFill="1" applyBorder="1" applyAlignment="1" applyProtection="1">
      <alignment horizontal="center" vertical="center"/>
      <protection/>
    </xf>
    <xf numFmtId="10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35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35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Font="1" applyFill="1" applyBorder="1" applyAlignment="1" applyProtection="1">
      <alignment horizontal="right" vertical="center" wrapText="1" shrinkToFit="1"/>
      <protection/>
    </xf>
    <xf numFmtId="164" fontId="6" fillId="35" borderId="33" xfId="0" applyNumberFormat="1" applyFont="1" applyFill="1" applyBorder="1" applyAlignment="1" applyProtection="1">
      <alignment horizontal="right" vertical="center"/>
      <protection locked="0"/>
    </xf>
    <xf numFmtId="164" fontId="53" fillId="35" borderId="33" xfId="0" applyNumberFormat="1" applyFont="1" applyFill="1" applyBorder="1" applyAlignment="1" applyProtection="1">
      <alignment horizontal="right" vertical="center"/>
      <protection locked="0"/>
    </xf>
    <xf numFmtId="6" fontId="6" fillId="35" borderId="33" xfId="0" applyNumberFormat="1" applyFont="1" applyFill="1" applyBorder="1" applyAlignment="1" applyProtection="1">
      <alignment horizontal="right" vertical="center"/>
      <protection locked="0"/>
    </xf>
    <xf numFmtId="6" fontId="53" fillId="35" borderId="28" xfId="0" applyNumberFormat="1" applyFont="1" applyFill="1" applyBorder="1" applyAlignment="1" applyProtection="1">
      <alignment horizontal="right" vertical="center"/>
      <protection locked="0"/>
    </xf>
    <xf numFmtId="6" fontId="53" fillId="35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34" xfId="0" applyNumberFormat="1" applyFont="1" applyFill="1" applyBorder="1" applyAlignment="1" applyProtection="1">
      <alignment horizontal="right" vertical="center"/>
      <protection/>
    </xf>
    <xf numFmtId="164" fontId="6" fillId="0" borderId="35" xfId="0" applyNumberFormat="1" applyFont="1" applyFill="1" applyBorder="1" applyAlignment="1" applyProtection="1">
      <alignment horizontal="right" vertical="center"/>
      <protection/>
    </xf>
    <xf numFmtId="164" fontId="6" fillId="0" borderId="36" xfId="0" applyNumberFormat="1" applyFont="1" applyFill="1" applyBorder="1" applyAlignment="1" applyProtection="1">
      <alignment horizontal="right" vertical="center"/>
      <protection/>
    </xf>
    <xf numFmtId="164" fontId="6" fillId="0" borderId="37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6" fontId="6" fillId="35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/>
    </xf>
    <xf numFmtId="6" fontId="6" fillId="0" borderId="27" xfId="0" applyNumberFormat="1" applyFont="1" applyFill="1" applyBorder="1" applyAlignment="1" applyProtection="1">
      <alignment horizontal="right" vertical="center"/>
      <protection/>
    </xf>
    <xf numFmtId="0" fontId="6" fillId="35" borderId="33" xfId="0" applyFont="1" applyFill="1" applyBorder="1" applyAlignment="1" applyProtection="1">
      <alignment horizontal="right" vertical="center"/>
      <protection locked="0"/>
    </xf>
    <xf numFmtId="167" fontId="6" fillId="35" borderId="33" xfId="0" applyNumberFormat="1" applyFont="1" applyFill="1" applyBorder="1" applyAlignment="1" applyProtection="1">
      <alignment horizontal="right" vertical="center"/>
      <protection locked="0"/>
    </xf>
    <xf numFmtId="10" fontId="6" fillId="35" borderId="32" xfId="0" applyNumberFormat="1" applyFont="1" applyFill="1" applyBorder="1" applyAlignment="1" applyProtection="1">
      <alignment horizontal="right" vertical="center" wrapText="1"/>
      <protection locked="0"/>
    </xf>
    <xf numFmtId="170" fontId="6" fillId="35" borderId="32" xfId="0" applyNumberFormat="1" applyFont="1" applyFill="1" applyBorder="1" applyAlignment="1" applyProtection="1">
      <alignment horizontal="right" vertical="center" wrapText="1"/>
      <protection locked="0"/>
    </xf>
    <xf numFmtId="164" fontId="6" fillId="35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27" xfId="0" applyNumberFormat="1" applyFont="1" applyFill="1" applyBorder="1" applyAlignment="1" applyProtection="1">
      <alignment horizontal="right" vertical="center"/>
      <protection/>
    </xf>
    <xf numFmtId="9" fontId="7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10" fontId="6" fillId="33" borderId="0" xfId="0" applyNumberFormat="1" applyFont="1" applyFill="1" applyBorder="1" applyAlignment="1" applyProtection="1">
      <alignment horizontal="right" vertical="center"/>
      <protection/>
    </xf>
    <xf numFmtId="9" fontId="6" fillId="35" borderId="27" xfId="0" applyNumberFormat="1" applyFont="1" applyFill="1" applyBorder="1" applyAlignment="1" applyProtection="1">
      <alignment horizontal="right" vertical="center"/>
      <protection locked="0"/>
    </xf>
    <xf numFmtId="10" fontId="6" fillId="35" borderId="27" xfId="0" applyNumberFormat="1" applyFont="1" applyFill="1" applyBorder="1" applyAlignment="1" applyProtection="1">
      <alignment horizontal="right" vertical="center"/>
      <protection locked="0"/>
    </xf>
    <xf numFmtId="9" fontId="0" fillId="35" borderId="19" xfId="0" applyNumberFormat="1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49" fontId="0" fillId="35" borderId="38" xfId="0" applyNumberFormat="1" applyFont="1" applyFill="1" applyBorder="1" applyAlignment="1">
      <alignment horizontal="center" vertical="center" wrapText="1"/>
    </xf>
    <xf numFmtId="2" fontId="0" fillId="35" borderId="38" xfId="0" applyNumberFormat="1" applyFont="1" applyFill="1" applyBorder="1" applyAlignment="1">
      <alignment horizontal="center" vertical="center" wrapText="1"/>
    </xf>
    <xf numFmtId="164" fontId="0" fillId="35" borderId="38" xfId="0" applyNumberFormat="1" applyFont="1" applyFill="1" applyBorder="1" applyAlignment="1">
      <alignment horizontal="center" vertical="center" wrapText="1"/>
    </xf>
    <xf numFmtId="0" fontId="0" fillId="35" borderId="38" xfId="0" applyFont="1" applyFill="1" applyBorder="1" applyAlignment="1" applyProtection="1">
      <alignment horizontal="center" vertical="center" wrapText="1"/>
      <protection/>
    </xf>
    <xf numFmtId="9" fontId="0" fillId="35" borderId="20" xfId="0" applyNumberFormat="1" applyFont="1" applyFill="1" applyBorder="1" applyAlignment="1" applyProtection="1">
      <alignment horizontal="center" vertical="center" wrapText="1"/>
      <protection/>
    </xf>
    <xf numFmtId="9" fontId="0" fillId="35" borderId="15" xfId="0" applyNumberFormat="1" applyFont="1" applyFill="1" applyBorder="1" applyAlignment="1">
      <alignment horizontal="center"/>
    </xf>
    <xf numFmtId="0" fontId="54" fillId="36" borderId="38" xfId="0" applyFont="1" applyFill="1" applyBorder="1" applyAlignment="1" applyProtection="1">
      <alignment horizontal="center" vertical="center" wrapText="1"/>
      <protection/>
    </xf>
    <xf numFmtId="2" fontId="54" fillId="36" borderId="38" xfId="0" applyNumberFormat="1" applyFont="1" applyFill="1" applyBorder="1" applyAlignment="1" applyProtection="1">
      <alignment horizontal="center" vertical="center" wrapText="1"/>
      <protection/>
    </xf>
    <xf numFmtId="164" fontId="54" fillId="36" borderId="38" xfId="0" applyNumberFormat="1" applyFont="1" applyFill="1" applyBorder="1" applyAlignment="1" applyProtection="1">
      <alignment horizontal="center" vertical="center" wrapText="1"/>
      <protection/>
    </xf>
    <xf numFmtId="9" fontId="54" fillId="36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right" vertical="center" wrapText="1"/>
      <protection/>
    </xf>
    <xf numFmtId="0" fontId="54" fillId="36" borderId="28" xfId="0" applyFont="1" applyFill="1" applyBorder="1" applyAlignment="1" applyProtection="1">
      <alignment horizontal="center" vertical="center" wrapText="1"/>
      <protection/>
    </xf>
    <xf numFmtId="0" fontId="54" fillId="36" borderId="39" xfId="0" applyFont="1" applyFill="1" applyBorder="1" applyAlignment="1" applyProtection="1">
      <alignment horizontal="center" vertical="center" wrapText="1"/>
      <protection/>
    </xf>
    <xf numFmtId="0" fontId="54" fillId="36" borderId="32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left" vertical="center"/>
      <protection locked="0"/>
    </xf>
    <xf numFmtId="0" fontId="6" fillId="35" borderId="41" xfId="0" applyFont="1" applyFill="1" applyBorder="1" applyAlignment="1" applyProtection="1">
      <alignment horizontal="left" vertical="center"/>
      <protection locked="0"/>
    </xf>
    <xf numFmtId="0" fontId="6" fillId="35" borderId="33" xfId="0" applyFont="1" applyFill="1" applyBorder="1" applyAlignment="1" applyProtection="1">
      <alignment horizontal="left" vertical="center"/>
      <protection locked="0"/>
    </xf>
    <xf numFmtId="0" fontId="6" fillId="35" borderId="22" xfId="0" applyFont="1" applyFill="1" applyBorder="1" applyAlignment="1" applyProtection="1">
      <alignment horizontal="left" vertical="center"/>
      <protection locked="0"/>
    </xf>
    <xf numFmtId="0" fontId="6" fillId="35" borderId="24" xfId="0" applyFont="1" applyFill="1" applyBorder="1" applyAlignment="1" applyProtection="1">
      <alignment horizontal="left" vertical="center"/>
      <protection locked="0"/>
    </xf>
    <xf numFmtId="0" fontId="6" fillId="35" borderId="29" xfId="0" applyFont="1" applyFill="1" applyBorder="1" applyAlignment="1" applyProtection="1">
      <alignment horizontal="left" vertical="center"/>
      <protection locked="0"/>
    </xf>
    <xf numFmtId="9" fontId="6" fillId="35" borderId="17" xfId="0" applyNumberFormat="1" applyFont="1" applyFill="1" applyBorder="1" applyAlignment="1" applyProtection="1">
      <alignment horizontal="center" vertical="center"/>
      <protection locked="0"/>
    </xf>
    <xf numFmtId="9" fontId="6" fillId="35" borderId="31" xfId="0" applyNumberFormat="1" applyFont="1" applyFill="1" applyBorder="1" applyAlignment="1" applyProtection="1">
      <alignment horizontal="center" vertical="center"/>
      <protection locked="0"/>
    </xf>
    <xf numFmtId="0" fontId="55" fillId="36" borderId="42" xfId="0" applyFont="1" applyFill="1" applyBorder="1" applyAlignment="1" applyProtection="1">
      <alignment horizontal="center" vertical="center" textRotation="90" wrapText="1"/>
      <protection/>
    </xf>
    <xf numFmtId="0" fontId="55" fillId="36" borderId="43" xfId="0" applyFont="1" applyFill="1" applyBorder="1" applyAlignment="1" applyProtection="1">
      <alignment horizontal="center" vertical="center" textRotation="90" wrapText="1"/>
      <protection/>
    </xf>
    <xf numFmtId="0" fontId="56" fillId="36" borderId="29" xfId="0" applyFont="1" applyFill="1" applyBorder="1" applyAlignment="1" applyProtection="1">
      <alignment horizontal="center" vertical="center" wrapText="1"/>
      <protection/>
    </xf>
    <xf numFmtId="0" fontId="56" fillId="36" borderId="22" xfId="0" applyFont="1" applyFill="1" applyBorder="1" applyAlignment="1" applyProtection="1">
      <alignment horizontal="center" vertical="center" wrapText="1"/>
      <protection/>
    </xf>
    <xf numFmtId="0" fontId="56" fillId="36" borderId="30" xfId="0" applyFont="1" applyFill="1" applyBorder="1" applyAlignment="1" applyProtection="1">
      <alignment horizontal="center" vertical="center" wrapText="1"/>
      <protection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left" vertical="center" wrapText="1" shrinkToFit="1"/>
      <protection/>
    </xf>
    <xf numFmtId="0" fontId="6" fillId="0" borderId="41" xfId="0" applyFont="1" applyFill="1" applyBorder="1" applyAlignment="1" applyProtection="1">
      <alignment horizontal="left" vertical="center" wrapText="1" shrinkToFit="1"/>
      <protection/>
    </xf>
    <xf numFmtId="0" fontId="6" fillId="0" borderId="33" xfId="0" applyFont="1" applyFill="1" applyBorder="1" applyAlignment="1" applyProtection="1">
      <alignment horizontal="left" vertical="center" wrapText="1" shrinkToFi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9" fillId="35" borderId="26" xfId="0" applyFont="1" applyFill="1" applyBorder="1" applyAlignment="1" applyProtection="1">
      <alignment horizontal="center" vertical="center" wrapText="1"/>
      <protection/>
    </xf>
    <xf numFmtId="49" fontId="5" fillId="35" borderId="4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55" fillId="36" borderId="44" xfId="0" applyFont="1" applyFill="1" applyBorder="1" applyAlignment="1" applyProtection="1">
      <alignment horizontal="center" vertical="center" textRotation="90" wrapText="1"/>
      <protection/>
    </xf>
    <xf numFmtId="0" fontId="6" fillId="35" borderId="40" xfId="0" applyFont="1" applyFill="1" applyBorder="1" applyAlignment="1" applyProtection="1">
      <alignment horizontal="center" vertical="center"/>
      <protection locked="0"/>
    </xf>
    <xf numFmtId="0" fontId="6" fillId="35" borderId="41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7" fillId="35" borderId="40" xfId="0" applyFont="1" applyFill="1" applyBorder="1" applyAlignment="1" applyProtection="1">
      <alignment horizontal="center" vertical="center" wrapText="1"/>
      <protection locked="0"/>
    </xf>
    <xf numFmtId="0" fontId="7" fillId="35" borderId="41" xfId="0" applyFont="1" applyFill="1" applyBorder="1" applyAlignment="1" applyProtection="1">
      <alignment horizontal="center" vertical="center" wrapText="1"/>
      <protection locked="0"/>
    </xf>
    <xf numFmtId="0" fontId="7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28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8" fontId="7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4" fillId="36" borderId="19" xfId="0" applyFont="1" applyFill="1" applyBorder="1" applyAlignment="1" applyProtection="1">
      <alignment horizontal="center" vertical="center" wrapText="1"/>
      <protection/>
    </xf>
    <xf numFmtId="0" fontId="54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34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123825</xdr:colOff>
      <xdr:row>2</xdr:row>
      <xdr:rowOff>0</xdr:rowOff>
    </xdr:from>
    <xdr:to>
      <xdr:col>13</xdr:col>
      <xdr:colOff>914400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524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2</xdr:row>
      <xdr:rowOff>95250</xdr:rowOff>
    </xdr:from>
    <xdr:to>
      <xdr:col>12</xdr:col>
      <xdr:colOff>1409700</xdr:colOff>
      <xdr:row>4</xdr:row>
      <xdr:rowOff>190500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8975" y="247650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othe\Local%20Settings\Temporary%20Internet%20Files\OLK1B\Swaythling%20AFHOS%20IQF%2015.3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FHOS affordability calculator"/>
    </sheetNames>
    <sheetDataSet>
      <sheetData sheetId="0">
        <row r="3">
          <cell r="A3" t="str">
            <v>Blue Forces</v>
          </cell>
          <cell r="B3" t="str">
            <v>Kate Williams  katew@swayhs.org.uk</v>
          </cell>
        </row>
        <row r="4">
          <cell r="A4" t="str">
            <v>Abacus</v>
          </cell>
          <cell r="B4" t="str">
            <v>Tim Willcocks  timw@swayhs.org.uk</v>
          </cell>
        </row>
        <row r="5">
          <cell r="A5" t="str">
            <v>Stone Financial</v>
          </cell>
        </row>
        <row r="6">
          <cell r="A6" t="str">
            <v>Pearson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8515625" style="0" bestFit="1" customWidth="1"/>
    <col min="2" max="2" width="12.28125" style="0" bestFit="1" customWidth="1"/>
  </cols>
  <sheetData>
    <row r="1" spans="1:2" ht="13.5" thickBot="1">
      <c r="A1" s="17" t="s">
        <v>47</v>
      </c>
      <c r="B1" s="18">
        <v>65600</v>
      </c>
    </row>
    <row r="2" spans="1:2" ht="12.75">
      <c r="A2" s="19" t="s">
        <v>52</v>
      </c>
      <c r="B2" s="20">
        <f>B1/0.85*0.15</f>
        <v>11576.470588235296</v>
      </c>
    </row>
    <row r="3" spans="1:2" ht="12.75">
      <c r="A3" s="21" t="s">
        <v>48</v>
      </c>
      <c r="B3" s="22">
        <f>SUM(B1:B2)</f>
        <v>77176.4705882353</v>
      </c>
    </row>
    <row r="4" ht="13.5" thickBot="1">
      <c r="B4" s="24"/>
    </row>
    <row r="5" spans="1:2" ht="13.5" thickBot="1">
      <c r="A5" s="17" t="s">
        <v>49</v>
      </c>
      <c r="B5" s="25">
        <v>120000</v>
      </c>
    </row>
    <row r="6" spans="1:2" ht="12.75">
      <c r="A6" s="26" t="s">
        <v>53</v>
      </c>
      <c r="B6" s="27">
        <f>B5*0.75</f>
        <v>90000</v>
      </c>
    </row>
    <row r="7" spans="1:2" ht="12.75">
      <c r="A7" s="21" t="s">
        <v>50</v>
      </c>
      <c r="B7" s="28">
        <f>B6*0.85</f>
        <v>76500</v>
      </c>
    </row>
    <row r="8" spans="1:2" ht="13.5" thickBot="1">
      <c r="A8" s="23" t="s">
        <v>51</v>
      </c>
      <c r="B8" s="29">
        <f>B6*0.15</f>
        <v>13500</v>
      </c>
    </row>
    <row r="9" spans="1:2" ht="12.75">
      <c r="A9" s="30" t="s">
        <v>54</v>
      </c>
      <c r="B9" s="31">
        <f>B5*0.25</f>
        <v>30000</v>
      </c>
    </row>
    <row r="10" spans="1:2" ht="12.75">
      <c r="A10" s="21" t="s">
        <v>55</v>
      </c>
      <c r="B10" s="28">
        <f>B9*0.85</f>
        <v>25500</v>
      </c>
    </row>
    <row r="11" spans="1:2" ht="13.5" thickBot="1">
      <c r="A11" s="23" t="s">
        <v>51</v>
      </c>
      <c r="B11" s="29">
        <f>B9*0.15</f>
        <v>4500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&amp;C&amp;1#&amp;"Calibri"&amp;12&amp;K0078D7OFFICIAL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M77"/>
  <sheetViews>
    <sheetView showGridLines="0" tabSelected="1" zoomScale="80" zoomScaleNormal="80" zoomScalePageLayoutView="0" workbookViewId="0" topLeftCell="A1">
      <selection activeCell="G8" sqref="G8:J8"/>
    </sheetView>
  </sheetViews>
  <sheetFormatPr defaultColWidth="9.140625" defaultRowHeight="16.5" customHeight="1" outlineLevelRow="1"/>
  <cols>
    <col min="1" max="1" width="5.28125" style="60" customWidth="1"/>
    <col min="2" max="2" width="5.421875" style="60" customWidth="1"/>
    <col min="3" max="3" width="6.7109375" style="60" customWidth="1"/>
    <col min="4" max="7" width="14.421875" style="60" customWidth="1"/>
    <col min="8" max="8" width="18.00390625" style="61" customWidth="1"/>
    <col min="9" max="9" width="14.00390625" style="60" customWidth="1"/>
    <col min="10" max="10" width="11.7109375" style="60" customWidth="1"/>
    <col min="11" max="11" width="15.28125" style="60" customWidth="1"/>
    <col min="12" max="12" width="21.140625" style="60" customWidth="1"/>
    <col min="13" max="13" width="21.57421875" style="60" customWidth="1"/>
    <col min="14" max="14" width="17.421875" style="60" customWidth="1"/>
    <col min="15" max="15" width="10.8515625" style="60" customWidth="1"/>
    <col min="16" max="16" width="4.8515625" style="60" customWidth="1"/>
    <col min="17" max="17" width="9.140625" style="62" customWidth="1"/>
    <col min="18" max="18" width="11.140625" style="62" bestFit="1" customWidth="1"/>
    <col min="19" max="19" width="12.140625" style="62" customWidth="1"/>
    <col min="20" max="38" width="9.140625" style="62" customWidth="1"/>
    <col min="39" max="65" width="9.140625" style="60" customWidth="1"/>
    <col min="66" max="16384" width="9.140625" style="64" customWidth="1"/>
  </cols>
  <sheetData>
    <row r="1" spans="1:65" s="63" customFormat="1" ht="6" customHeight="1">
      <c r="A1" s="60"/>
      <c r="B1" s="60"/>
      <c r="C1" s="60"/>
      <c r="D1" s="60"/>
      <c r="E1" s="60"/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</row>
    <row r="2" ht="6" customHeight="1" thickBot="1"/>
    <row r="3" spans="2:16" ht="16.5" customHeight="1">
      <c r="B3" s="226" t="s">
        <v>78</v>
      </c>
      <c r="C3" s="227"/>
      <c r="D3" s="227"/>
      <c r="E3" s="227"/>
      <c r="F3" s="227"/>
      <c r="G3" s="233" t="s">
        <v>84</v>
      </c>
      <c r="H3" s="234"/>
      <c r="I3" s="234"/>
      <c r="J3" s="235"/>
      <c r="K3" s="41"/>
      <c r="L3" s="42"/>
      <c r="M3" s="42"/>
      <c r="N3" s="42"/>
      <c r="O3" s="33"/>
      <c r="P3" s="34"/>
    </row>
    <row r="4" spans="2:16" ht="28.5" customHeight="1" thickBot="1">
      <c r="B4" s="228"/>
      <c r="C4" s="229"/>
      <c r="D4" s="229"/>
      <c r="E4" s="229"/>
      <c r="F4" s="229"/>
      <c r="G4" s="236"/>
      <c r="H4" s="237"/>
      <c r="I4" s="237"/>
      <c r="J4" s="238"/>
      <c r="K4" s="41"/>
      <c r="L4" s="137"/>
      <c r="M4" s="42"/>
      <c r="N4" s="42"/>
      <c r="O4" s="33"/>
      <c r="P4" s="34"/>
    </row>
    <row r="5" spans="1:65" ht="16.5" customHeight="1">
      <c r="A5" s="64"/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133"/>
      <c r="M5" s="133"/>
      <c r="N5" s="133"/>
      <c r="O5" s="134"/>
      <c r="P5" s="13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</row>
    <row r="6" spans="1:65" s="65" customFormat="1" ht="12" customHeight="1" thickBot="1">
      <c r="A6" s="62"/>
      <c r="B6" s="62"/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3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</row>
    <row r="7" spans="1:65" s="67" customFormat="1" ht="16.5" customHeight="1" thickBot="1">
      <c r="A7" s="66"/>
      <c r="B7" s="224" t="s">
        <v>22</v>
      </c>
      <c r="C7" s="43"/>
      <c r="D7" s="230" t="s">
        <v>0</v>
      </c>
      <c r="E7" s="231"/>
      <c r="F7" s="232"/>
      <c r="G7" s="230" t="s">
        <v>1</v>
      </c>
      <c r="H7" s="231"/>
      <c r="I7" s="231"/>
      <c r="J7" s="232"/>
      <c r="K7" s="140" t="s">
        <v>10</v>
      </c>
      <c r="L7" s="141" t="s">
        <v>32</v>
      </c>
      <c r="M7" s="142"/>
      <c r="N7" s="143"/>
      <c r="O7" s="66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</row>
    <row r="8" spans="2:38" ht="16.5" customHeight="1" thickBot="1">
      <c r="B8" s="242"/>
      <c r="C8" s="43"/>
      <c r="D8" s="216"/>
      <c r="E8" s="217"/>
      <c r="F8" s="218"/>
      <c r="G8" s="216"/>
      <c r="H8" s="217"/>
      <c r="I8" s="217"/>
      <c r="J8" s="218"/>
      <c r="K8" s="144"/>
      <c r="L8" s="249"/>
      <c r="M8" s="145"/>
      <c r="N8" s="146"/>
      <c r="P8" s="62"/>
      <c r="Q8" s="65"/>
      <c r="AL8" s="60"/>
    </row>
    <row r="9" spans="2:38" ht="16.5" customHeight="1" thickBot="1">
      <c r="B9" s="242"/>
      <c r="C9" s="43"/>
      <c r="D9" s="216"/>
      <c r="E9" s="219"/>
      <c r="F9" s="220"/>
      <c r="G9" s="221"/>
      <c r="H9" s="219"/>
      <c r="I9" s="219"/>
      <c r="J9" s="220"/>
      <c r="K9" s="147"/>
      <c r="L9" s="250"/>
      <c r="M9" s="145"/>
      <c r="N9" s="146"/>
      <c r="P9" s="62"/>
      <c r="AL9" s="60"/>
    </row>
    <row r="10" spans="2:38" ht="16.5" customHeight="1" thickBot="1">
      <c r="B10" s="242"/>
      <c r="C10" s="43"/>
      <c r="D10" s="148" t="s">
        <v>26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5"/>
      <c r="P10" s="62"/>
      <c r="AL10" s="60"/>
    </row>
    <row r="11" spans="2:38" ht="16.5" customHeight="1" thickBot="1">
      <c r="B11" s="225"/>
      <c r="C11" s="43"/>
      <c r="D11" s="148" t="s">
        <v>27</v>
      </c>
      <c r="E11" s="243"/>
      <c r="F11" s="244"/>
      <c r="G11" s="244"/>
      <c r="H11" s="245"/>
      <c r="I11" s="148" t="s">
        <v>28</v>
      </c>
      <c r="J11" s="246"/>
      <c r="K11" s="247"/>
      <c r="L11" s="247"/>
      <c r="M11" s="247"/>
      <c r="N11" s="248"/>
      <c r="P11" s="62"/>
      <c r="Y11" s="65"/>
      <c r="AL11" s="60"/>
    </row>
    <row r="12" spans="2:38" s="60" customFormat="1" ht="7.5" customHeight="1" thickBot="1">
      <c r="B12" s="44"/>
      <c r="D12" s="32"/>
      <c r="E12" s="32"/>
      <c r="F12" s="32"/>
      <c r="G12" s="32"/>
      <c r="H12" s="37"/>
      <c r="I12" s="36"/>
      <c r="J12" s="36"/>
      <c r="K12" s="36"/>
      <c r="L12" s="36"/>
      <c r="M12" s="36"/>
      <c r="N12" s="36"/>
      <c r="O12" s="68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2:15" ht="22.5" customHeight="1" thickBot="1">
      <c r="B13" s="224" t="s">
        <v>46</v>
      </c>
      <c r="D13" s="149" t="s">
        <v>33</v>
      </c>
      <c r="E13" s="150"/>
      <c r="F13" s="69"/>
      <c r="G13" s="69"/>
      <c r="H13" s="51"/>
      <c r="I13" s="239"/>
      <c r="J13" s="240"/>
      <c r="K13" s="240"/>
      <c r="L13" s="240"/>
      <c r="M13" s="240"/>
      <c r="N13" s="241"/>
      <c r="O13" s="68"/>
    </row>
    <row r="14" spans="2:15" ht="22.5" customHeight="1" thickBot="1">
      <c r="B14" s="242"/>
      <c r="D14" s="151" t="s">
        <v>34</v>
      </c>
      <c r="E14" s="111"/>
      <c r="F14" s="32"/>
      <c r="G14" s="32"/>
      <c r="H14" s="52"/>
      <c r="I14" s="173"/>
      <c r="J14" s="36"/>
      <c r="K14" s="149" t="s">
        <v>18</v>
      </c>
      <c r="L14" s="49"/>
      <c r="M14" s="70"/>
      <c r="N14" s="191">
        <v>0.0275</v>
      </c>
      <c r="O14" s="68"/>
    </row>
    <row r="15" spans="2:15" ht="22.5" customHeight="1" thickBot="1">
      <c r="B15" s="225"/>
      <c r="D15" s="152" t="s">
        <v>35</v>
      </c>
      <c r="E15" s="153"/>
      <c r="F15" s="71"/>
      <c r="G15" s="71"/>
      <c r="H15" s="53"/>
      <c r="I15" s="174"/>
      <c r="J15" s="36"/>
      <c r="K15" s="152" t="s">
        <v>19</v>
      </c>
      <c r="L15" s="50"/>
      <c r="M15" s="72"/>
      <c r="N15" s="192">
        <v>0</v>
      </c>
      <c r="O15" s="68"/>
    </row>
    <row r="16" spans="2:15" ht="7.5" customHeight="1" thickBot="1">
      <c r="B16" s="44"/>
      <c r="D16" s="38"/>
      <c r="E16" s="111"/>
      <c r="F16" s="32"/>
      <c r="G16" s="32"/>
      <c r="H16" s="37"/>
      <c r="I16" s="175"/>
      <c r="J16" s="36"/>
      <c r="K16" s="36"/>
      <c r="L16" s="36"/>
      <c r="M16" s="36"/>
      <c r="N16" s="175">
        <v>0</v>
      </c>
      <c r="O16" s="68"/>
    </row>
    <row r="17" spans="2:15" ht="18.75" customHeight="1" thickBot="1">
      <c r="B17" s="224" t="s">
        <v>45</v>
      </c>
      <c r="C17" s="43"/>
      <c r="D17" s="149" t="s">
        <v>76</v>
      </c>
      <c r="E17" s="150"/>
      <c r="F17" s="69"/>
      <c r="G17" s="69"/>
      <c r="H17" s="73"/>
      <c r="I17" s="176">
        <v>0</v>
      </c>
      <c r="K17" s="213" t="s">
        <v>25</v>
      </c>
      <c r="L17" s="162"/>
      <c r="M17" s="163" t="s">
        <v>4</v>
      </c>
      <c r="N17" s="193">
        <v>0</v>
      </c>
      <c r="O17" s="68"/>
    </row>
    <row r="18" spans="2:15" ht="18.75" customHeight="1" thickBot="1">
      <c r="B18" s="242"/>
      <c r="C18" s="43"/>
      <c r="D18" s="154" t="s">
        <v>3</v>
      </c>
      <c r="E18" s="84"/>
      <c r="F18" s="62"/>
      <c r="G18" s="62"/>
      <c r="H18" s="74"/>
      <c r="I18" s="176">
        <v>0</v>
      </c>
      <c r="J18" s="75"/>
      <c r="K18" s="214"/>
      <c r="L18" s="164"/>
      <c r="M18" s="165" t="s">
        <v>5</v>
      </c>
      <c r="N18" s="193">
        <v>0</v>
      </c>
      <c r="O18" s="68"/>
    </row>
    <row r="19" spans="2:15" ht="18.75" customHeight="1" thickBot="1">
      <c r="B19" s="242"/>
      <c r="C19" s="43"/>
      <c r="D19" s="155" t="s">
        <v>69</v>
      </c>
      <c r="E19" s="156"/>
      <c r="F19" s="76"/>
      <c r="G19" s="76"/>
      <c r="H19" s="77"/>
      <c r="I19" s="177">
        <v>0</v>
      </c>
      <c r="J19" s="75"/>
      <c r="K19" s="214"/>
      <c r="L19" s="164"/>
      <c r="M19" s="165" t="s">
        <v>6</v>
      </c>
      <c r="N19" s="193">
        <v>0</v>
      </c>
      <c r="O19" s="68"/>
    </row>
    <row r="20" spans="2:15" ht="18.75" customHeight="1" thickBot="1">
      <c r="B20" s="242"/>
      <c r="C20" s="43"/>
      <c r="D20" s="155" t="s">
        <v>68</v>
      </c>
      <c r="E20" s="156"/>
      <c r="F20" s="76"/>
      <c r="G20" s="76"/>
      <c r="H20" s="77"/>
      <c r="I20" s="177">
        <v>0</v>
      </c>
      <c r="J20" s="75"/>
      <c r="K20" s="214"/>
      <c r="L20" s="164"/>
      <c r="M20" s="165" t="s">
        <v>7</v>
      </c>
      <c r="N20" s="193">
        <v>0</v>
      </c>
      <c r="O20" s="68"/>
    </row>
    <row r="21" spans="2:14" ht="18.75" customHeight="1" thickBot="1">
      <c r="B21" s="242"/>
      <c r="C21" s="43"/>
      <c r="D21" s="151" t="s">
        <v>77</v>
      </c>
      <c r="E21" s="111"/>
      <c r="F21" s="32"/>
      <c r="G21" s="32"/>
      <c r="H21" s="74"/>
      <c r="I21" s="178">
        <v>0</v>
      </c>
      <c r="J21" s="62"/>
      <c r="K21" s="214"/>
      <c r="L21" s="166"/>
      <c r="M21" s="165" t="s">
        <v>8</v>
      </c>
      <c r="N21" s="193">
        <v>0</v>
      </c>
    </row>
    <row r="22" spans="2:14" ht="18.75" customHeight="1" thickBot="1">
      <c r="B22" s="242"/>
      <c r="C22" s="43"/>
      <c r="D22" s="154" t="s">
        <v>3</v>
      </c>
      <c r="E22" s="111"/>
      <c r="F22" s="32"/>
      <c r="G22" s="32"/>
      <c r="H22" s="74"/>
      <c r="I22" s="178">
        <v>0</v>
      </c>
      <c r="J22" s="75"/>
      <c r="K22" s="214"/>
      <c r="L22" s="167"/>
      <c r="M22" s="168" t="s">
        <v>9</v>
      </c>
      <c r="N22" s="193">
        <v>0</v>
      </c>
    </row>
    <row r="23" spans="2:14" ht="18.75" customHeight="1" thickBot="1">
      <c r="B23" s="242"/>
      <c r="C23" s="43"/>
      <c r="D23" s="155" t="s">
        <v>69</v>
      </c>
      <c r="E23" s="157"/>
      <c r="F23" s="78"/>
      <c r="G23" s="78"/>
      <c r="H23" s="77"/>
      <c r="I23" s="179">
        <v>0</v>
      </c>
      <c r="J23" s="75"/>
      <c r="K23" s="215"/>
      <c r="L23" s="212" t="s">
        <v>83</v>
      </c>
      <c r="M23" s="212"/>
      <c r="N23" s="194">
        <f>N17+N20+N21+N22</f>
        <v>0</v>
      </c>
    </row>
    <row r="24" spans="2:15" ht="18.75" customHeight="1" thickBot="1">
      <c r="B24" s="242"/>
      <c r="D24" s="155" t="s">
        <v>68</v>
      </c>
      <c r="E24" s="157"/>
      <c r="F24" s="78"/>
      <c r="G24" s="78"/>
      <c r="H24" s="79"/>
      <c r="I24" s="180">
        <v>0</v>
      </c>
      <c r="J24" s="75"/>
      <c r="K24" s="48"/>
      <c r="N24" s="146"/>
      <c r="O24" s="62"/>
    </row>
    <row r="25" spans="2:14" ht="18.75" customHeight="1">
      <c r="B25" s="242"/>
      <c r="D25" s="151" t="s">
        <v>57</v>
      </c>
      <c r="E25" s="38"/>
      <c r="F25" s="35"/>
      <c r="G25" s="35"/>
      <c r="H25" s="52"/>
      <c r="I25" s="181">
        <f>I17+I21+((I18+I22)/2)</f>
        <v>0</v>
      </c>
      <c r="K25" s="48"/>
      <c r="N25" s="146"/>
    </row>
    <row r="26" spans="2:27" ht="18.75" customHeight="1">
      <c r="B26" s="242"/>
      <c r="D26" s="151" t="s">
        <v>64</v>
      </c>
      <c r="E26" s="38"/>
      <c r="F26" s="35"/>
      <c r="G26" s="35"/>
      <c r="H26" s="52"/>
      <c r="I26" s="182">
        <f>IF(I17-I19*12-I20*12+0.5*I18&lt;F50,(I17-I19*12-I20*12+0.5*I18),IF(I17-I19*12-I20*12&lt;E50,((I17-I19*12-I20*12+(0.5*I18)-F50)*(1-H50)+F50-(J50*(I17-I19*12-I20*12+(0.5*I18)-K50))),(((I17-I19*12-I20*12+(0.5*I18)-E50)*(1-I50))+((E50-F50)*(1-H50))+F50-(J50*(E50-K50))-(L50*(I17-I19*12-I20*12+(0.5*I18)-E50)))))+IF(I21-I23*12-I24*12+0.5*I22&lt;F50,(I21-I23*12-I24*12+0.5*I22),IF(I21-I23*12-I24*12&lt;E50,((I21-I23*12-I24*12+(0.5*I22)-F50)*(1-H50)+F50-(J50*(I21-I23*12-I24*12+(0.5*I22)-K50))),(((I21-I23*12-I24*12+(0.5*I22)-E50)*(1-I50))+((E50-F50)*(1-H50))+F50-(J50*(E50-K50))-(L50*(I21-I23*12-I24*12+(0.5*I22)-E50)))))</f>
        <v>0</v>
      </c>
      <c r="K26" s="123"/>
      <c r="N26" s="40"/>
      <c r="R26" s="80"/>
      <c r="S26" s="80"/>
      <c r="T26" s="81"/>
      <c r="U26" s="81"/>
      <c r="V26" s="82"/>
      <c r="X26" s="81"/>
      <c r="Z26" s="81"/>
      <c r="AA26" s="81"/>
    </row>
    <row r="27" spans="2:27" ht="18.75" customHeight="1">
      <c r="B27" s="242"/>
      <c r="D27" s="151" t="s">
        <v>65</v>
      </c>
      <c r="E27" s="38"/>
      <c r="F27" s="35"/>
      <c r="G27" s="35"/>
      <c r="H27" s="52"/>
      <c r="I27" s="183">
        <f>N23*12</f>
        <v>0</v>
      </c>
      <c r="J27" s="122"/>
      <c r="K27" s="128"/>
      <c r="N27" s="40"/>
      <c r="R27" s="80"/>
      <c r="S27" s="80"/>
      <c r="T27" s="81"/>
      <c r="U27" s="81"/>
      <c r="V27" s="82"/>
      <c r="X27" s="81"/>
      <c r="Z27" s="81"/>
      <c r="AA27" s="81"/>
    </row>
    <row r="28" spans="2:27" ht="18.75" customHeight="1">
      <c r="B28" s="242"/>
      <c r="D28" s="142" t="s">
        <v>79</v>
      </c>
      <c r="E28" s="158"/>
      <c r="F28" s="138"/>
      <c r="G28" s="138"/>
      <c r="H28" s="139"/>
      <c r="I28" s="183">
        <f>I25+I27</f>
        <v>0</v>
      </c>
      <c r="J28" s="122"/>
      <c r="K28" s="129"/>
      <c r="N28" s="40"/>
      <c r="R28" s="80"/>
      <c r="S28" s="80"/>
      <c r="T28" s="81"/>
      <c r="U28" s="81"/>
      <c r="V28" s="82"/>
      <c r="X28" s="81"/>
      <c r="Z28" s="81"/>
      <c r="AA28" s="81"/>
    </row>
    <row r="29" spans="2:27" ht="18.75" customHeight="1" thickBot="1">
      <c r="B29" s="225"/>
      <c r="D29" s="152" t="s">
        <v>80</v>
      </c>
      <c r="E29" s="159"/>
      <c r="F29" s="50"/>
      <c r="G29" s="50"/>
      <c r="H29" s="53"/>
      <c r="I29" s="184">
        <f>I27+I26</f>
        <v>0</v>
      </c>
      <c r="J29" s="122"/>
      <c r="K29" s="124"/>
      <c r="N29" s="40"/>
      <c r="R29" s="80"/>
      <c r="S29" s="80"/>
      <c r="T29" s="81"/>
      <c r="U29" s="81"/>
      <c r="V29" s="82"/>
      <c r="X29" s="81"/>
      <c r="Z29" s="81"/>
      <c r="AA29" s="81"/>
    </row>
    <row r="30" spans="2:27" ht="9" customHeight="1" thickBot="1">
      <c r="B30" s="44"/>
      <c r="D30" s="38"/>
      <c r="E30" s="38"/>
      <c r="F30" s="35"/>
      <c r="G30" s="35"/>
      <c r="H30" s="37"/>
      <c r="I30" s="185"/>
      <c r="K30" s="45"/>
      <c r="N30" s="40"/>
      <c r="R30" s="80"/>
      <c r="S30" s="80"/>
      <c r="T30" s="81"/>
      <c r="U30" s="81"/>
      <c r="V30" s="82"/>
      <c r="X30" s="81"/>
      <c r="Z30" s="81"/>
      <c r="AA30" s="81"/>
    </row>
    <row r="31" spans="2:27" ht="19.5" customHeight="1" thickBot="1">
      <c r="B31" s="224" t="s">
        <v>23</v>
      </c>
      <c r="D31" s="149" t="s">
        <v>20</v>
      </c>
      <c r="E31" s="160"/>
      <c r="F31" s="49"/>
      <c r="G31" s="49"/>
      <c r="H31" s="83"/>
      <c r="I31" s="186">
        <v>0</v>
      </c>
      <c r="K31" s="125"/>
      <c r="L31" s="126"/>
      <c r="M31" s="127"/>
      <c r="N31" s="195"/>
      <c r="X31" s="81"/>
      <c r="Z31" s="81"/>
      <c r="AA31" s="81"/>
    </row>
    <row r="32" spans="2:27" ht="19.5" customHeight="1" thickBot="1">
      <c r="B32" s="225"/>
      <c r="D32" s="152" t="s">
        <v>21</v>
      </c>
      <c r="E32" s="159"/>
      <c r="F32" s="50"/>
      <c r="G32" s="50"/>
      <c r="H32" s="85"/>
      <c r="I32" s="186">
        <v>0</v>
      </c>
      <c r="J32" s="86"/>
      <c r="K32" s="39"/>
      <c r="M32" s="62"/>
      <c r="N32" s="196"/>
      <c r="X32" s="81"/>
      <c r="Z32" s="81"/>
      <c r="AA32" s="81"/>
    </row>
    <row r="33" spans="2:27" ht="6.75" customHeight="1" thickBot="1">
      <c r="B33" s="46"/>
      <c r="D33" s="161"/>
      <c r="E33" s="146"/>
      <c r="I33" s="187"/>
      <c r="K33" s="39"/>
      <c r="L33" s="84"/>
      <c r="M33" s="62"/>
      <c r="N33" s="197"/>
      <c r="P33" s="62"/>
      <c r="R33" s="80"/>
      <c r="S33" s="80"/>
      <c r="T33" s="81"/>
      <c r="U33" s="81"/>
      <c r="V33" s="82"/>
      <c r="X33" s="81"/>
      <c r="Z33" s="81"/>
      <c r="AA33" s="81"/>
    </row>
    <row r="34" spans="2:27" ht="19.5" customHeight="1" thickBot="1">
      <c r="B34" s="224" t="s">
        <v>24</v>
      </c>
      <c r="D34" s="149" t="s">
        <v>81</v>
      </c>
      <c r="E34" s="160"/>
      <c r="F34" s="49"/>
      <c r="G34" s="49"/>
      <c r="H34" s="87"/>
      <c r="I34" s="188">
        <f>I29-((I31*12)+(0.36*I32))</f>
        <v>0</v>
      </c>
      <c r="K34" s="149" t="str">
        <f>"Lender deposit requirements (£"&amp;N34*D42&amp;")"</f>
        <v>Lender deposit requirements (£0)</v>
      </c>
      <c r="L34" s="88"/>
      <c r="M34" s="88"/>
      <c r="N34" s="198">
        <v>0.05</v>
      </c>
      <c r="P34" s="89"/>
      <c r="R34" s="80"/>
      <c r="S34" s="80"/>
      <c r="T34" s="81"/>
      <c r="U34" s="81"/>
      <c r="V34" s="82"/>
      <c r="X34" s="81"/>
      <c r="Z34" s="81"/>
      <c r="AA34" s="81"/>
    </row>
    <row r="35" spans="2:27" ht="19.5" customHeight="1" thickBot="1">
      <c r="B35" s="242"/>
      <c r="D35" s="151" t="s">
        <v>66</v>
      </c>
      <c r="E35" s="111"/>
      <c r="F35" s="32"/>
      <c r="G35" s="32"/>
      <c r="H35" s="90"/>
      <c r="I35" s="189">
        <v>4.5</v>
      </c>
      <c r="K35" s="151" t="s">
        <v>36</v>
      </c>
      <c r="L35" s="32"/>
      <c r="M35" s="62"/>
      <c r="N35" s="193">
        <v>0</v>
      </c>
      <c r="P35" s="89"/>
      <c r="R35" s="80"/>
      <c r="S35" s="80"/>
      <c r="T35" s="81"/>
      <c r="U35" s="81"/>
      <c r="V35" s="82"/>
      <c r="X35" s="81"/>
      <c r="Z35" s="81"/>
      <c r="AA35" s="81"/>
    </row>
    <row r="36" spans="2:16" ht="19.5" customHeight="1" thickBot="1">
      <c r="B36" s="242"/>
      <c r="D36" s="151" t="s">
        <v>82</v>
      </c>
      <c r="E36" s="111"/>
      <c r="F36" s="32"/>
      <c r="G36" s="32"/>
      <c r="H36" s="52"/>
      <c r="I36" s="188">
        <f>I28*I35</f>
        <v>0</v>
      </c>
      <c r="K36" s="151" t="s">
        <v>67</v>
      </c>
      <c r="L36" s="35"/>
      <c r="M36" s="62"/>
      <c r="N36" s="188">
        <f>I36+N35</f>
        <v>0</v>
      </c>
      <c r="P36" s="84"/>
    </row>
    <row r="37" spans="2:16" ht="19.5" customHeight="1" thickBot="1">
      <c r="B37" s="242"/>
      <c r="D37" s="152" t="s">
        <v>75</v>
      </c>
      <c r="E37" s="153"/>
      <c r="F37" s="71"/>
      <c r="G37" s="71"/>
      <c r="H37" s="53"/>
      <c r="I37" s="190">
        <v>25</v>
      </c>
      <c r="K37" s="152" t="s">
        <v>2</v>
      </c>
      <c r="L37" s="71"/>
      <c r="M37" s="91"/>
      <c r="N37" s="199">
        <v>0.045</v>
      </c>
      <c r="P37" s="84"/>
    </row>
    <row r="38" spans="2:38" s="60" customFormat="1" ht="12" customHeight="1">
      <c r="B38" s="47"/>
      <c r="H38" s="61"/>
      <c r="I38" s="92"/>
      <c r="K38" s="54"/>
      <c r="L38" s="54"/>
      <c r="M38" s="54"/>
      <c r="N38" s="55"/>
      <c r="P38" s="8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2:38" s="60" customFormat="1" ht="16.5" customHeight="1">
      <c r="B39" s="93"/>
      <c r="H39" s="61"/>
      <c r="I39" s="92"/>
      <c r="K39" s="54"/>
      <c r="L39" s="54"/>
      <c r="M39" s="54"/>
      <c r="N39" s="54"/>
      <c r="P39" s="84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8:38" s="60" customFormat="1" ht="6" customHeight="1" thickBot="1">
      <c r="H40" s="32"/>
      <c r="I40" s="62"/>
      <c r="K40" s="54"/>
      <c r="L40" s="54"/>
      <c r="M40" s="54"/>
      <c r="N40" s="54"/>
      <c r="P40" s="84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2:16" ht="81.75" customHeight="1">
      <c r="B41" s="255" t="s">
        <v>37</v>
      </c>
      <c r="C41" s="256"/>
      <c r="D41" s="208" t="s">
        <v>31</v>
      </c>
      <c r="E41" s="208" t="s">
        <v>38</v>
      </c>
      <c r="F41" s="208" t="s">
        <v>13</v>
      </c>
      <c r="G41" s="208" t="s">
        <v>12</v>
      </c>
      <c r="H41" s="209" t="s">
        <v>72</v>
      </c>
      <c r="I41" s="210" t="s">
        <v>14</v>
      </c>
      <c r="J41" s="210" t="s">
        <v>15</v>
      </c>
      <c r="K41" s="208" t="s">
        <v>16</v>
      </c>
      <c r="L41" s="208" t="s">
        <v>73</v>
      </c>
      <c r="M41" s="211" t="s">
        <v>74</v>
      </c>
      <c r="N41" s="62"/>
      <c r="O41" s="130"/>
      <c r="P41" s="62"/>
    </row>
    <row r="42" spans="2:16" ht="48" customHeight="1" thickBot="1">
      <c r="B42" s="222">
        <v>0.5</v>
      </c>
      <c r="C42" s="223"/>
      <c r="D42" s="169">
        <f>I14*B42</f>
        <v>0</v>
      </c>
      <c r="E42" s="169">
        <f>N35</f>
        <v>0</v>
      </c>
      <c r="F42" s="169" t="str">
        <f>IF(E42&gt;=(D42*N34),"YES","NO")</f>
        <v>YES</v>
      </c>
      <c r="G42" s="170" t="str">
        <f>(IF(SUM(D42-E42)&gt;0,SUM(D42-E42),"Minimum share unaffordable"))</f>
        <v>Minimum share unaffordable</v>
      </c>
      <c r="H42" s="171" t="e">
        <f>G42/I28</f>
        <v>#VALUE!</v>
      </c>
      <c r="I42" s="169" t="e">
        <f>-PMT(N37/12,I37*12,G42)</f>
        <v>#VALUE!</v>
      </c>
      <c r="J42" s="169">
        <f>((I14-D42)*N14)/12</f>
        <v>0</v>
      </c>
      <c r="K42" s="169">
        <f>N15/12</f>
        <v>0</v>
      </c>
      <c r="L42" s="169" t="e">
        <f>SUM(I42:K42)</f>
        <v>#VALUE!</v>
      </c>
      <c r="M42" s="172" t="e">
        <f>(L42*12)/I34</f>
        <v>#VALUE!</v>
      </c>
      <c r="N42" s="62"/>
      <c r="O42" s="131"/>
      <c r="P42" s="62"/>
    </row>
    <row r="43" spans="2:38" s="60" customFormat="1" ht="15.75" customHeight="1">
      <c r="B43" s="47"/>
      <c r="D43" s="32"/>
      <c r="E43" s="32"/>
      <c r="F43" s="32"/>
      <c r="G43" s="32"/>
      <c r="H43" s="37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2:38" s="60" customFormat="1" ht="15.75" customHeight="1">
      <c r="B44" s="47"/>
      <c r="D44" s="32"/>
      <c r="E44" s="32"/>
      <c r="F44" s="32"/>
      <c r="G44" s="32"/>
      <c r="H44" s="37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2:38" s="60" customFormat="1" ht="15.75" customHeight="1" hidden="1">
      <c r="B45" s="47"/>
      <c r="D45" s="32"/>
      <c r="E45" s="32"/>
      <c r="F45" s="32"/>
      <c r="G45" s="32"/>
      <c r="H45" s="37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1:65" s="63" customFormat="1" ht="16.5" customHeight="1" hidden="1" outlineLevel="1">
      <c r="A46" s="94"/>
      <c r="B46" s="94"/>
      <c r="C46" s="94"/>
      <c r="D46" s="94"/>
      <c r="E46" s="94"/>
      <c r="F46" s="94"/>
      <c r="G46" s="94"/>
      <c r="H46" s="95"/>
      <c r="I46" s="94"/>
      <c r="J46" s="96"/>
      <c r="K46" s="56"/>
      <c r="L46" s="56"/>
      <c r="M46" s="56"/>
      <c r="N46" s="56"/>
      <c r="O46" s="48"/>
      <c r="P46" s="4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</row>
    <row r="47" spans="1:65" s="63" customFormat="1" ht="16.5" customHeight="1" hidden="1" outlineLevel="1">
      <c r="A47" s="94"/>
      <c r="B47" s="94"/>
      <c r="C47" s="94"/>
      <c r="D47" s="94"/>
      <c r="E47" s="97"/>
      <c r="F47" s="94"/>
      <c r="G47" s="94"/>
      <c r="H47" s="95"/>
      <c r="I47" s="94"/>
      <c r="J47" s="96"/>
      <c r="K47" s="57"/>
      <c r="L47" s="57"/>
      <c r="M47" s="57"/>
      <c r="N47" s="57"/>
      <c r="O47" s="60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</row>
    <row r="48" spans="1:65" s="63" customFormat="1" ht="16.5" customHeight="1" hidden="1" outlineLevel="1">
      <c r="A48" s="94"/>
      <c r="B48" s="94"/>
      <c r="C48" s="94"/>
      <c r="D48" s="94"/>
      <c r="E48" s="93" t="str">
        <f>IF('check share levels'!E56&gt;0,'check share levels'!E56,"ZERO")</f>
        <v>ZERO</v>
      </c>
      <c r="F48" s="98"/>
      <c r="G48" s="94"/>
      <c r="H48" s="95"/>
      <c r="I48" s="94"/>
      <c r="J48" s="99"/>
      <c r="K48" s="93"/>
      <c r="L48" s="94"/>
      <c r="M48" s="94"/>
      <c r="N48" s="94"/>
      <c r="O48" s="60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</row>
    <row r="49" spans="1:16" ht="16.5" customHeight="1" hidden="1" outlineLevel="1">
      <c r="A49" s="94"/>
      <c r="B49" s="94"/>
      <c r="C49" s="94"/>
      <c r="D49" s="94"/>
      <c r="E49" s="101" t="s">
        <v>58</v>
      </c>
      <c r="F49" s="101" t="s">
        <v>59</v>
      </c>
      <c r="G49" s="101" t="s">
        <v>60</v>
      </c>
      <c r="H49" s="101" t="s">
        <v>60</v>
      </c>
      <c r="I49" s="101" t="s">
        <v>58</v>
      </c>
      <c r="J49" s="101" t="s">
        <v>61</v>
      </c>
      <c r="K49" s="101" t="s">
        <v>62</v>
      </c>
      <c r="L49" s="101" t="s">
        <v>63</v>
      </c>
      <c r="M49" s="102"/>
      <c r="N49" s="102"/>
      <c r="O49" s="62"/>
      <c r="P49" s="62"/>
    </row>
    <row r="50" spans="1:16" ht="16.5" customHeight="1" hidden="1" outlineLevel="1">
      <c r="A50" s="100"/>
      <c r="B50" s="94"/>
      <c r="C50" s="94"/>
      <c r="D50" s="103"/>
      <c r="E50" s="101">
        <v>50001</v>
      </c>
      <c r="F50" s="101">
        <v>12500</v>
      </c>
      <c r="G50" s="101">
        <v>37500</v>
      </c>
      <c r="H50" s="104">
        <v>0.2</v>
      </c>
      <c r="I50" s="104">
        <v>0.4</v>
      </c>
      <c r="J50" s="104">
        <v>0.12</v>
      </c>
      <c r="K50" s="101">
        <f>166*52</f>
        <v>8632</v>
      </c>
      <c r="L50" s="104">
        <v>0.02</v>
      </c>
      <c r="M50" s="105"/>
      <c r="N50" s="105"/>
      <c r="O50" s="62"/>
      <c r="P50" s="62"/>
    </row>
    <row r="51" spans="1:22" ht="16.5" customHeight="1" hidden="1">
      <c r="A51" s="66"/>
      <c r="D51" s="62"/>
      <c r="E51" s="106"/>
      <c r="F51" s="106"/>
      <c r="G51" s="106"/>
      <c r="H51" s="107"/>
      <c r="I51" s="107"/>
      <c r="J51" s="107"/>
      <c r="K51" s="108"/>
      <c r="L51" s="108"/>
      <c r="M51" s="109"/>
      <c r="N51" s="109"/>
      <c r="P51" s="110"/>
      <c r="Q51" s="111"/>
      <c r="R51" s="84"/>
      <c r="S51" s="84"/>
      <c r="T51" s="84"/>
      <c r="U51" s="84"/>
      <c r="V51" s="84"/>
    </row>
    <row r="52" spans="1:17" ht="16.5" customHeight="1" hidden="1">
      <c r="A52" s="66"/>
      <c r="D52" s="32"/>
      <c r="E52" s="32"/>
      <c r="F52" s="32"/>
      <c r="G52" s="32"/>
      <c r="H52" s="37"/>
      <c r="I52" s="112"/>
      <c r="K52" s="109">
        <f>(30000-K50)*0.12</f>
        <v>2564.16</v>
      </c>
      <c r="L52" s="109"/>
      <c r="M52" s="113"/>
      <c r="N52" s="113"/>
      <c r="P52" s="62"/>
      <c r="Q52" s="84"/>
    </row>
    <row r="53" spans="1:17" ht="16.5" customHeight="1">
      <c r="A53" s="66"/>
      <c r="I53" s="62"/>
      <c r="K53" s="113"/>
      <c r="L53" s="113"/>
      <c r="M53" s="114"/>
      <c r="N53" s="114"/>
      <c r="Q53" s="84"/>
    </row>
    <row r="54" spans="1:17" ht="16.5" customHeight="1">
      <c r="A54" s="66"/>
      <c r="H54" s="60"/>
      <c r="I54" s="62"/>
      <c r="J54" s="115"/>
      <c r="K54" s="109"/>
      <c r="L54" s="109"/>
      <c r="M54" s="109"/>
      <c r="N54" s="109"/>
      <c r="Q54" s="84"/>
    </row>
    <row r="55" spans="1:22" ht="16.5" customHeight="1">
      <c r="A55" s="66"/>
      <c r="H55" s="60"/>
      <c r="I55" s="62"/>
      <c r="J55" s="109"/>
      <c r="K55" s="114"/>
      <c r="L55" s="114"/>
      <c r="M55" s="114"/>
      <c r="N55" s="114"/>
      <c r="Q55" s="111"/>
      <c r="R55" s="84"/>
      <c r="S55" s="84"/>
      <c r="T55" s="84"/>
      <c r="U55" s="84"/>
      <c r="V55" s="84"/>
    </row>
    <row r="56" spans="1:22" ht="16.5" customHeight="1">
      <c r="A56" s="66"/>
      <c r="H56" s="60"/>
      <c r="I56" s="62"/>
      <c r="J56" s="109"/>
      <c r="K56" s="114"/>
      <c r="L56" s="114"/>
      <c r="M56" s="114"/>
      <c r="N56" s="114"/>
      <c r="O56" s="66"/>
      <c r="Q56" s="116"/>
      <c r="T56" s="32"/>
      <c r="V56" s="117"/>
    </row>
    <row r="57" spans="1:22" ht="16.5" customHeight="1">
      <c r="A57" s="66"/>
      <c r="B57" s="66"/>
      <c r="C57" s="66"/>
      <c r="H57" s="60"/>
      <c r="I57" s="62"/>
      <c r="J57" s="113"/>
      <c r="K57" s="114"/>
      <c r="L57" s="114"/>
      <c r="M57" s="114"/>
      <c r="N57" s="114"/>
      <c r="O57" s="66"/>
      <c r="Q57" s="116"/>
      <c r="T57" s="32"/>
      <c r="V57" s="117"/>
    </row>
    <row r="58" spans="1:22" ht="16.5" customHeight="1">
      <c r="A58" s="66"/>
      <c r="B58" s="66"/>
      <c r="C58" s="66"/>
      <c r="H58" s="60"/>
      <c r="I58" s="62"/>
      <c r="J58" s="114"/>
      <c r="K58" s="114"/>
      <c r="L58" s="114"/>
      <c r="M58" s="114"/>
      <c r="N58" s="114"/>
      <c r="O58" s="66"/>
      <c r="Q58" s="253"/>
      <c r="R58" s="253"/>
      <c r="S58" s="253"/>
      <c r="T58" s="253"/>
      <c r="U58" s="253"/>
      <c r="V58" s="253"/>
    </row>
    <row r="59" spans="1:22" ht="16.5" customHeight="1">
      <c r="A59" s="66"/>
      <c r="B59" s="66"/>
      <c r="C59" s="66"/>
      <c r="H59" s="60"/>
      <c r="I59" s="62"/>
      <c r="J59" s="109"/>
      <c r="K59" s="62"/>
      <c r="L59" s="62"/>
      <c r="M59" s="62"/>
      <c r="N59" s="62"/>
      <c r="O59" s="66"/>
      <c r="Q59" s="253"/>
      <c r="R59" s="253"/>
      <c r="S59" s="253"/>
      <c r="T59" s="253"/>
      <c r="U59" s="253"/>
      <c r="V59" s="253"/>
    </row>
    <row r="60" spans="2:22" ht="16.5" customHeight="1">
      <c r="B60" s="66"/>
      <c r="C60" s="66"/>
      <c r="H60" s="60"/>
      <c r="I60" s="62"/>
      <c r="J60" s="114"/>
      <c r="K60" s="118"/>
      <c r="L60" s="118"/>
      <c r="M60" s="118"/>
      <c r="N60" s="118"/>
      <c r="O60" s="66"/>
      <c r="Q60" s="253"/>
      <c r="R60" s="253"/>
      <c r="S60" s="253"/>
      <c r="T60" s="253"/>
      <c r="U60" s="253"/>
      <c r="V60" s="253"/>
    </row>
    <row r="61" spans="2:22" ht="16.5" customHeight="1">
      <c r="B61" s="66"/>
      <c r="C61" s="66"/>
      <c r="H61" s="60"/>
      <c r="I61" s="62"/>
      <c r="J61" s="114"/>
      <c r="K61" s="118"/>
      <c r="L61" s="118"/>
      <c r="M61" s="118"/>
      <c r="N61" s="118"/>
      <c r="O61" s="66"/>
      <c r="Q61" s="253"/>
      <c r="R61" s="253"/>
      <c r="S61" s="253"/>
      <c r="T61" s="253"/>
      <c r="U61" s="253"/>
      <c r="V61" s="253"/>
    </row>
    <row r="62" spans="1:65" s="119" customFormat="1" ht="16.5" customHeight="1">
      <c r="A62" s="60"/>
      <c r="B62" s="66"/>
      <c r="C62" s="66"/>
      <c r="D62" s="60"/>
      <c r="E62" s="60"/>
      <c r="F62" s="60"/>
      <c r="G62" s="60"/>
      <c r="H62" s="60"/>
      <c r="I62" s="62"/>
      <c r="J62" s="114"/>
      <c r="K62" s="60"/>
      <c r="L62" s="60"/>
      <c r="M62" s="60"/>
      <c r="N62" s="60"/>
      <c r="O62" s="66"/>
      <c r="P62" s="66"/>
      <c r="Q62" s="253"/>
      <c r="R62" s="253"/>
      <c r="S62" s="253"/>
      <c r="T62" s="253"/>
      <c r="U62" s="253"/>
      <c r="V62" s="253"/>
      <c r="W62" s="62"/>
      <c r="X62" s="62"/>
      <c r="Y62" s="6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</row>
    <row r="63" spans="1:65" s="119" customFormat="1" ht="16.5" customHeight="1">
      <c r="A63" s="60"/>
      <c r="B63" s="66"/>
      <c r="C63" s="66"/>
      <c r="D63" s="60"/>
      <c r="E63" s="60"/>
      <c r="F63" s="60"/>
      <c r="G63" s="60"/>
      <c r="H63" s="60"/>
      <c r="I63" s="60"/>
      <c r="J63" s="114"/>
      <c r="K63" s="60"/>
      <c r="L63" s="60"/>
      <c r="M63" s="60"/>
      <c r="N63" s="60"/>
      <c r="O63" s="66"/>
      <c r="P63" s="66"/>
      <c r="Q63" s="253"/>
      <c r="R63" s="253"/>
      <c r="S63" s="253"/>
      <c r="T63" s="253"/>
      <c r="U63" s="253"/>
      <c r="V63" s="253"/>
      <c r="W63" s="62"/>
      <c r="X63" s="62"/>
      <c r="Y63" s="6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</row>
    <row r="64" spans="1:65" s="119" customFormat="1" ht="16.5" customHeight="1">
      <c r="A64" s="60"/>
      <c r="B64" s="66"/>
      <c r="C64" s="66"/>
      <c r="D64" s="60"/>
      <c r="E64" s="60"/>
      <c r="F64" s="60"/>
      <c r="G64" s="60"/>
      <c r="H64" s="60"/>
      <c r="I64" s="60"/>
      <c r="J64" s="62"/>
      <c r="K64" s="60"/>
      <c r="L64" s="60"/>
      <c r="M64" s="60"/>
      <c r="N64" s="60"/>
      <c r="O64" s="66"/>
      <c r="P64" s="66"/>
      <c r="Q64" s="253"/>
      <c r="R64" s="253"/>
      <c r="S64" s="253"/>
      <c r="T64" s="253"/>
      <c r="U64" s="253"/>
      <c r="V64" s="253"/>
      <c r="W64" s="62"/>
      <c r="X64" s="62"/>
      <c r="Y64" s="6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</row>
    <row r="65" spans="1:65" s="119" customFormat="1" ht="16.5" customHeight="1">
      <c r="A65" s="60"/>
      <c r="B65" s="66"/>
      <c r="C65" s="66"/>
      <c r="D65" s="60"/>
      <c r="E65" s="60"/>
      <c r="F65" s="60"/>
      <c r="G65" s="60"/>
      <c r="H65" s="60"/>
      <c r="I65" s="60"/>
      <c r="J65" s="118"/>
      <c r="K65" s="120"/>
      <c r="L65" s="120"/>
      <c r="M65" s="120"/>
      <c r="N65" s="120"/>
      <c r="O65" s="66"/>
      <c r="P65" s="66"/>
      <c r="Q65" s="62"/>
      <c r="R65" s="62"/>
      <c r="S65" s="62"/>
      <c r="T65" s="62"/>
      <c r="U65" s="62"/>
      <c r="V65" s="62"/>
      <c r="W65" s="62"/>
      <c r="X65" s="62"/>
      <c r="Y65" s="6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</row>
    <row r="66" spans="1:65" s="119" customFormat="1" ht="16.5" customHeight="1">
      <c r="A66" s="60"/>
      <c r="B66" s="66"/>
      <c r="C66" s="66"/>
      <c r="D66" s="32"/>
      <c r="E66" s="32"/>
      <c r="F66" s="32"/>
      <c r="G66" s="32"/>
      <c r="H66" s="37"/>
      <c r="I66" s="60"/>
      <c r="J66" s="118"/>
      <c r="K66" s="60"/>
      <c r="L66" s="60"/>
      <c r="M66" s="60"/>
      <c r="N66" s="60"/>
      <c r="O66" s="60"/>
      <c r="P66" s="66"/>
      <c r="Q66" s="62"/>
      <c r="R66" s="62"/>
      <c r="S66" s="62"/>
      <c r="T66" s="62"/>
      <c r="U66" s="62"/>
      <c r="V66" s="62"/>
      <c r="W66" s="62"/>
      <c r="X66" s="62"/>
      <c r="Y66" s="6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</row>
    <row r="67" spans="1:65" s="119" customFormat="1" ht="16.5" customHeight="1">
      <c r="A67" s="60"/>
      <c r="B67" s="66"/>
      <c r="C67" s="66"/>
      <c r="D67" s="60"/>
      <c r="E67" s="60"/>
      <c r="F67" s="60"/>
      <c r="G67" s="60"/>
      <c r="H67" s="61"/>
      <c r="I67" s="60"/>
      <c r="J67" s="60"/>
      <c r="K67" s="60"/>
      <c r="L67" s="60"/>
      <c r="M67" s="60"/>
      <c r="N67" s="60"/>
      <c r="O67" s="121"/>
      <c r="P67" s="66"/>
      <c r="Q67" s="254"/>
      <c r="R67" s="254"/>
      <c r="S67" s="254"/>
      <c r="T67" s="254"/>
      <c r="U67" s="254"/>
      <c r="V67" s="254"/>
      <c r="W67" s="254"/>
      <c r="X67" s="252"/>
      <c r="Y67" s="251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</row>
    <row r="68" spans="2:25" ht="16.5" customHeight="1">
      <c r="B68" s="66"/>
      <c r="C68" s="66"/>
      <c r="O68" s="38"/>
      <c r="Q68" s="254"/>
      <c r="R68" s="254"/>
      <c r="S68" s="254"/>
      <c r="T68" s="254"/>
      <c r="U68" s="254"/>
      <c r="V68" s="254"/>
      <c r="W68" s="254"/>
      <c r="X68" s="252"/>
      <c r="Y68" s="251"/>
    </row>
    <row r="69" spans="2:25" ht="16.5" customHeight="1">
      <c r="B69" s="66"/>
      <c r="C69" s="66"/>
      <c r="O69" s="38"/>
      <c r="P69" s="80"/>
      <c r="Q69" s="254"/>
      <c r="R69" s="254"/>
      <c r="S69" s="254"/>
      <c r="T69" s="254"/>
      <c r="U69" s="254"/>
      <c r="V69" s="254"/>
      <c r="W69" s="254"/>
      <c r="X69" s="252"/>
      <c r="Y69" s="251"/>
    </row>
    <row r="70" spans="2:16" ht="16.5" customHeight="1">
      <c r="B70" s="66"/>
      <c r="C70" s="66"/>
      <c r="I70" s="120"/>
      <c r="J70" s="120"/>
      <c r="O70" s="38"/>
      <c r="P70" s="81"/>
    </row>
    <row r="71" spans="15:16" ht="16.5" customHeight="1">
      <c r="O71" s="38"/>
      <c r="P71" s="62"/>
    </row>
    <row r="72" spans="15:22" ht="16.5" customHeight="1">
      <c r="O72" s="38"/>
      <c r="P72" s="62"/>
      <c r="S72" s="82"/>
      <c r="T72" s="82"/>
      <c r="U72" s="82"/>
      <c r="V72" s="82"/>
    </row>
    <row r="73" spans="15:22" ht="16.5" customHeight="1">
      <c r="O73" s="121"/>
      <c r="S73" s="81"/>
      <c r="T73" s="81"/>
      <c r="U73" s="81"/>
      <c r="V73" s="81"/>
    </row>
    <row r="74" spans="1:65" ht="16.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S74" s="81"/>
      <c r="T74" s="81"/>
      <c r="U74" s="81"/>
      <c r="V74" s="81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</row>
    <row r="76" spans="1:65" ht="16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32"/>
      <c r="S76" s="118"/>
      <c r="T76" s="118"/>
      <c r="U76" s="118"/>
      <c r="V76" s="118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</row>
    <row r="77" spans="1:65" ht="16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32"/>
      <c r="S77" s="118"/>
      <c r="T77" s="118"/>
      <c r="U77" s="118"/>
      <c r="V77" s="118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</row>
  </sheetData>
  <sheetProtection password="F487" sheet="1" selectLockedCells="1"/>
  <mergeCells count="26">
    <mergeCell ref="B34:B37"/>
    <mergeCell ref="L8:L9"/>
    <mergeCell ref="B7:B11"/>
    <mergeCell ref="E10:N10"/>
    <mergeCell ref="Y67:Y69"/>
    <mergeCell ref="X67:X69"/>
    <mergeCell ref="Q58:V64"/>
    <mergeCell ref="Q67:W69"/>
    <mergeCell ref="B17:B29"/>
    <mergeCell ref="B41:C41"/>
    <mergeCell ref="B42:C42"/>
    <mergeCell ref="B31:B32"/>
    <mergeCell ref="B3:F4"/>
    <mergeCell ref="D7:F7"/>
    <mergeCell ref="G3:J4"/>
    <mergeCell ref="I13:N13"/>
    <mergeCell ref="G7:J7"/>
    <mergeCell ref="B13:B15"/>
    <mergeCell ref="E11:H11"/>
    <mergeCell ref="J11:N11"/>
    <mergeCell ref="L23:M23"/>
    <mergeCell ref="K17:K23"/>
    <mergeCell ref="D8:F8"/>
    <mergeCell ref="D9:F9"/>
    <mergeCell ref="G8:J8"/>
    <mergeCell ref="G9:J9"/>
  </mergeCells>
  <conditionalFormatting sqref="F42">
    <cfRule type="cellIs" priority="5" dxfId="14" operator="equal" stopIfTrue="1">
      <formula>"YES"</formula>
    </cfRule>
    <cfRule type="cellIs" priority="6" dxfId="0" operator="equal" stopIfTrue="1">
      <formula>"NO"</formula>
    </cfRule>
  </conditionalFormatting>
  <conditionalFormatting sqref="M42">
    <cfRule type="cellIs" priority="7" dxfId="0" operator="greaterThan" stopIfTrue="1">
      <formula>0.45</formula>
    </cfRule>
    <cfRule type="cellIs" priority="8" dxfId="9" operator="lessThanOrEqual" stopIfTrue="1">
      <formula>0.45</formula>
    </cfRule>
  </conditionalFormatting>
  <conditionalFormatting sqref="O42">
    <cfRule type="cellIs" priority="9" dxfId="0" operator="greaterThan" stopIfTrue="1">
      <formula>Headline!#REF!</formula>
    </cfRule>
    <cfRule type="cellIs" priority="10" dxfId="9" operator="lessThanOrEqual" stopIfTrue="1">
      <formula>$C$26</formula>
    </cfRule>
  </conditionalFormatting>
  <conditionalFormatting sqref="H42">
    <cfRule type="expression" priority="3" dxfId="6" stopIfTrue="1">
      <formula>"&lt;2.5"</formula>
    </cfRule>
    <cfRule type="cellIs" priority="12" dxfId="0" operator="greaterThan" stopIfTrue="1">
      <formula>$I$35</formula>
    </cfRule>
  </conditionalFormatting>
  <conditionalFormatting sqref="G42">
    <cfRule type="cellIs" priority="4" dxfId="6" operator="equal" stopIfTrue="1">
      <formula>"Minimum share unaffordable"</formula>
    </cfRule>
  </conditionalFormatting>
  <printOptions horizontalCentered="1" verticalCentered="1"/>
  <pageMargins left="0.35433070866141736" right="0.35433070866141736" top="0.31496062992125984" bottom="0.31496062992125984" header="0" footer="0"/>
  <pageSetup fitToHeight="0" fitToWidth="0" horizontalDpi="600" verticalDpi="600" orientation="landscape" paperSize="9" scale="71" r:id="rId2"/>
  <headerFooter alignWithMargins="0">
    <oddFooter>&amp;C&amp;1#&amp;"Calibri"&amp;12&amp;K0078D7OFFICIAL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zoomScale="85" zoomScaleNormal="85" zoomScalePageLayoutView="0" workbookViewId="0" topLeftCell="A1">
      <pane ySplit="1" topLeftCell="A5" activePane="bottomLeft" state="frozen"/>
      <selection pane="topLeft" activeCell="E1" sqref="E1"/>
      <selection pane="bottomLeft" activeCell="X33" sqref="X33"/>
    </sheetView>
  </sheetViews>
  <sheetFormatPr defaultColWidth="9.140625" defaultRowHeight="12.75"/>
  <cols>
    <col min="1" max="1" width="8.421875" style="14" hidden="1" customWidth="1"/>
    <col min="2" max="5" width="8.421875" style="11" hidden="1" customWidth="1"/>
    <col min="6" max="6" width="14.00390625" style="5" customWidth="1"/>
    <col min="7" max="8" width="12.28125" style="1" customWidth="1"/>
    <col min="9" max="9" width="12.28125" style="11" customWidth="1"/>
    <col min="10" max="10" width="12.28125" style="1" customWidth="1"/>
    <col min="11" max="11" width="12.28125" style="3" customWidth="1"/>
    <col min="12" max="13" width="12.28125" style="4" customWidth="1"/>
    <col min="14" max="15" width="12.28125" style="1" customWidth="1"/>
    <col min="16" max="16" width="12.28125" style="5" customWidth="1"/>
    <col min="17" max="18" width="9.140625" style="1" customWidth="1"/>
    <col min="19" max="16384" width="9.140625" style="1" customWidth="1"/>
  </cols>
  <sheetData>
    <row r="1" spans="1:18" s="2" customFormat="1" ht="38.25">
      <c r="A1" s="15" t="s">
        <v>41</v>
      </c>
      <c r="B1" s="13" t="s">
        <v>42</v>
      </c>
      <c r="C1" s="13" t="s">
        <v>40</v>
      </c>
      <c r="D1" s="13" t="s">
        <v>43</v>
      </c>
      <c r="E1" s="13" t="s">
        <v>56</v>
      </c>
      <c r="F1" s="200" t="s">
        <v>11</v>
      </c>
      <c r="G1" s="201" t="s">
        <v>29</v>
      </c>
      <c r="H1" s="201" t="s">
        <v>30</v>
      </c>
      <c r="I1" s="202" t="s">
        <v>13</v>
      </c>
      <c r="J1" s="201" t="s">
        <v>12</v>
      </c>
      <c r="K1" s="203" t="s">
        <v>71</v>
      </c>
      <c r="L1" s="204" t="s">
        <v>14</v>
      </c>
      <c r="M1" s="204" t="s">
        <v>15</v>
      </c>
      <c r="N1" s="205" t="s">
        <v>16</v>
      </c>
      <c r="O1" s="205" t="s">
        <v>17</v>
      </c>
      <c r="P1" s="206" t="s">
        <v>70</v>
      </c>
      <c r="Q1" s="6"/>
      <c r="R1" s="2">
        <v>4.5</v>
      </c>
    </row>
    <row r="2" spans="1:16" ht="12.75">
      <c r="A2" s="14" t="e">
        <f>IF($K2&gt;$R$1,2,1)</f>
        <v>#DIV/0!</v>
      </c>
      <c r="B2" s="14">
        <f aca="true" t="shared" si="0" ref="B2:B52">IF($P2&gt;45%,2,1)</f>
        <v>1</v>
      </c>
      <c r="C2" s="16">
        <f>IF(I2="YES",1,2)</f>
        <v>1</v>
      </c>
      <c r="D2" s="14" t="e">
        <f>IF(OR(C2=2,B2=2,A2=2),2,1)</f>
        <v>#DIV/0!</v>
      </c>
      <c r="E2" s="14" t="e">
        <f>IF(A2=1,IF(B2=1,1,2),2)</f>
        <v>#DIV/0!</v>
      </c>
      <c r="F2" s="207">
        <v>0.25</v>
      </c>
      <c r="G2" s="7">
        <f>$F2*Headline!$I$14</f>
        <v>0</v>
      </c>
      <c r="H2" s="7">
        <f>Headline!$N$35</f>
        <v>0</v>
      </c>
      <c r="I2" s="12" t="str">
        <f>IF($H2&gt;=($G2*Headline!$N$34),"YES","NO")</f>
        <v>YES</v>
      </c>
      <c r="J2" s="7">
        <f>SUM(G2-H2)</f>
        <v>0</v>
      </c>
      <c r="K2" s="8" t="e">
        <f>$J2/Headline!$I$28</f>
        <v>#DIV/0!</v>
      </c>
      <c r="L2" s="7">
        <f>(-PMT(Headline!$N$37/12,Headline!$I$37*12,'check share levels'!J2))</f>
        <v>0</v>
      </c>
      <c r="M2" s="7">
        <f>((Headline!$I$14-$G2)*Headline!$N$14)/12</f>
        <v>0</v>
      </c>
      <c r="N2" s="9">
        <f>Headline!$N$15/12</f>
        <v>0</v>
      </c>
      <c r="O2" s="9">
        <f>SUM(L2:N2)</f>
        <v>0</v>
      </c>
      <c r="P2" s="136">
        <f>+IF(Headline!$I$28&gt;0,$O2/(((Headline!$I$34/12))),0)</f>
        <v>0</v>
      </c>
    </row>
    <row r="3" spans="1:18" ht="12.75">
      <c r="A3" s="14" t="e">
        <f aca="true" t="shared" si="1" ref="A3:A52">IF($K3&gt;$R$1,2,1)</f>
        <v>#DIV/0!</v>
      </c>
      <c r="B3" s="14">
        <f t="shared" si="0"/>
        <v>1</v>
      </c>
      <c r="C3" s="16">
        <f aca="true" t="shared" si="2" ref="C3:C52">IF(I3="YES",1,2)</f>
        <v>1</v>
      </c>
      <c r="D3" s="14" t="e">
        <f aca="true" t="shared" si="3" ref="D3:D52">IF(OR(C3=2,B3=2,A3=2),2,1)</f>
        <v>#DIV/0!</v>
      </c>
      <c r="E3" s="14" t="e">
        <f aca="true" t="shared" si="4" ref="E3:E52">IF(A3=1,IF(B3=1,1,2),2)</f>
        <v>#DIV/0!</v>
      </c>
      <c r="F3" s="207">
        <v>0.26</v>
      </c>
      <c r="G3" s="7">
        <f>$F3*Headline!$I$14</f>
        <v>0</v>
      </c>
      <c r="H3" s="7">
        <f>Headline!$N$35</f>
        <v>0</v>
      </c>
      <c r="I3" s="12" t="str">
        <f>IF($H3&gt;=($G3*Headline!$N$34),"YES","NO")</f>
        <v>YES</v>
      </c>
      <c r="J3" s="7">
        <f>SUM(G3-H3)</f>
        <v>0</v>
      </c>
      <c r="K3" s="8" t="e">
        <f>$J3/Headline!$I$28</f>
        <v>#DIV/0!</v>
      </c>
      <c r="L3" s="7">
        <f>(-PMT(Headline!$N$37/12,Headline!$I$37*12,'check share levels'!J3))</f>
        <v>0</v>
      </c>
      <c r="M3" s="7">
        <f>((Headline!$I$14-$G3)*Headline!$N$14)/12</f>
        <v>0</v>
      </c>
      <c r="N3" s="9">
        <f>Headline!$N$15/12</f>
        <v>0</v>
      </c>
      <c r="O3" s="9">
        <f aca="true" t="shared" si="5" ref="O3:O52">SUM(L3:N3)</f>
        <v>0</v>
      </c>
      <c r="P3" s="136">
        <f>+IF(Headline!$I$28&gt;0,$O3/(((Headline!$I$34/12))),0)</f>
        <v>0</v>
      </c>
      <c r="R3" s="10"/>
    </row>
    <row r="4" spans="1:18" ht="12.75">
      <c r="A4" s="14" t="e">
        <f t="shared" si="1"/>
        <v>#DIV/0!</v>
      </c>
      <c r="B4" s="14">
        <f t="shared" si="0"/>
        <v>1</v>
      </c>
      <c r="C4" s="16">
        <f t="shared" si="2"/>
        <v>1</v>
      </c>
      <c r="D4" s="14" t="e">
        <f t="shared" si="3"/>
        <v>#DIV/0!</v>
      </c>
      <c r="E4" s="14" t="e">
        <f t="shared" si="4"/>
        <v>#DIV/0!</v>
      </c>
      <c r="F4" s="207">
        <v>0.27</v>
      </c>
      <c r="G4" s="7">
        <f>$F4*Headline!$I$14</f>
        <v>0</v>
      </c>
      <c r="H4" s="7">
        <f>Headline!$N$35</f>
        <v>0</v>
      </c>
      <c r="I4" s="12" t="str">
        <f>IF($H4&gt;=($G4*Headline!$N$34),"YES","NO")</f>
        <v>YES</v>
      </c>
      <c r="J4" s="7">
        <f aca="true" t="shared" si="6" ref="J4:J52">SUM(G4-H4)</f>
        <v>0</v>
      </c>
      <c r="K4" s="8" t="e">
        <f>$J4/Headline!$I$28</f>
        <v>#DIV/0!</v>
      </c>
      <c r="L4" s="7">
        <f>(-PMT(Headline!$N$37/12,Headline!$I$37*12,'check share levels'!J4))</f>
        <v>0</v>
      </c>
      <c r="M4" s="7">
        <f>((Headline!$I$14-$G4)*Headline!$N$14)/12</f>
        <v>0</v>
      </c>
      <c r="N4" s="9">
        <f>Headline!$N$15/12</f>
        <v>0</v>
      </c>
      <c r="O4" s="9">
        <f t="shared" si="5"/>
        <v>0</v>
      </c>
      <c r="P4" s="136">
        <f>+IF(Headline!$I$28&gt;0,$O4/(((Headline!$I$34/12))),0)</f>
        <v>0</v>
      </c>
      <c r="R4" s="10"/>
    </row>
    <row r="5" spans="1:18" ht="12.75">
      <c r="A5" s="14" t="e">
        <f t="shared" si="1"/>
        <v>#DIV/0!</v>
      </c>
      <c r="B5" s="14">
        <f t="shared" si="0"/>
        <v>1</v>
      </c>
      <c r="C5" s="16">
        <f t="shared" si="2"/>
        <v>1</v>
      </c>
      <c r="D5" s="14" t="e">
        <f t="shared" si="3"/>
        <v>#DIV/0!</v>
      </c>
      <c r="E5" s="14" t="e">
        <f t="shared" si="4"/>
        <v>#DIV/0!</v>
      </c>
      <c r="F5" s="207">
        <v>0.28</v>
      </c>
      <c r="G5" s="7">
        <f>$F5*Headline!$I$14</f>
        <v>0</v>
      </c>
      <c r="H5" s="7">
        <f>Headline!$N$35</f>
        <v>0</v>
      </c>
      <c r="I5" s="12" t="str">
        <f>IF($H5&gt;=($G5*Headline!$N$34),"YES","NO")</f>
        <v>YES</v>
      </c>
      <c r="J5" s="7">
        <f t="shared" si="6"/>
        <v>0</v>
      </c>
      <c r="K5" s="8" t="e">
        <f>$J5/Headline!$I$28</f>
        <v>#DIV/0!</v>
      </c>
      <c r="L5" s="7">
        <f>(-PMT(Headline!$N$37/12,Headline!$I$37*12,'check share levels'!J5))</f>
        <v>0</v>
      </c>
      <c r="M5" s="7">
        <f>((Headline!$I$14-$G5)*Headline!$N$14)/12</f>
        <v>0</v>
      </c>
      <c r="N5" s="9">
        <f>Headline!$N$15/12</f>
        <v>0</v>
      </c>
      <c r="O5" s="9">
        <f t="shared" si="5"/>
        <v>0</v>
      </c>
      <c r="P5" s="136">
        <f>+IF(Headline!$I$28&gt;0,$O5/(((Headline!$I$34/12))),0)</f>
        <v>0</v>
      </c>
      <c r="R5" s="10"/>
    </row>
    <row r="6" spans="1:18" ht="12.75">
      <c r="A6" s="14" t="e">
        <f t="shared" si="1"/>
        <v>#DIV/0!</v>
      </c>
      <c r="B6" s="14">
        <f t="shared" si="0"/>
        <v>1</v>
      </c>
      <c r="C6" s="16">
        <f t="shared" si="2"/>
        <v>1</v>
      </c>
      <c r="D6" s="14" t="e">
        <f t="shared" si="3"/>
        <v>#DIV/0!</v>
      </c>
      <c r="E6" s="14" t="e">
        <f t="shared" si="4"/>
        <v>#DIV/0!</v>
      </c>
      <c r="F6" s="207">
        <v>0.29</v>
      </c>
      <c r="G6" s="7">
        <f>$F6*Headline!$I$14</f>
        <v>0</v>
      </c>
      <c r="H6" s="7">
        <f>Headline!$N$35</f>
        <v>0</v>
      </c>
      <c r="I6" s="12" t="str">
        <f>IF($H6&gt;=($G6*Headline!$N$34),"YES","NO")</f>
        <v>YES</v>
      </c>
      <c r="J6" s="7">
        <f t="shared" si="6"/>
        <v>0</v>
      </c>
      <c r="K6" s="8" t="e">
        <f>$J6/Headline!$I$28</f>
        <v>#DIV/0!</v>
      </c>
      <c r="L6" s="7">
        <f>(-PMT(Headline!$N$37/12,Headline!$I$37*12,'check share levels'!J6))</f>
        <v>0</v>
      </c>
      <c r="M6" s="7">
        <f>((Headline!$I$14-$G6)*Headline!$N$14)/12</f>
        <v>0</v>
      </c>
      <c r="N6" s="9">
        <f>Headline!$N$15/12</f>
        <v>0</v>
      </c>
      <c r="O6" s="9">
        <f t="shared" si="5"/>
        <v>0</v>
      </c>
      <c r="P6" s="136">
        <f>+IF(Headline!$I$28&gt;0,$O6/(((Headline!$I$34/12))),0)</f>
        <v>0</v>
      </c>
      <c r="R6" s="10"/>
    </row>
    <row r="7" spans="1:18" ht="12.75">
      <c r="A7" s="14" t="e">
        <f t="shared" si="1"/>
        <v>#DIV/0!</v>
      </c>
      <c r="B7" s="14">
        <f t="shared" si="0"/>
        <v>1</v>
      </c>
      <c r="C7" s="16">
        <f t="shared" si="2"/>
        <v>1</v>
      </c>
      <c r="D7" s="14" t="e">
        <f t="shared" si="3"/>
        <v>#DIV/0!</v>
      </c>
      <c r="E7" s="14" t="e">
        <f t="shared" si="4"/>
        <v>#DIV/0!</v>
      </c>
      <c r="F7" s="207">
        <v>0.3</v>
      </c>
      <c r="G7" s="7">
        <f>$F7*Headline!$I$14</f>
        <v>0</v>
      </c>
      <c r="H7" s="7">
        <f>Headline!$N$35</f>
        <v>0</v>
      </c>
      <c r="I7" s="12" t="str">
        <f>IF($H7&gt;=($G7*Headline!$N$34),"YES","NO")</f>
        <v>YES</v>
      </c>
      <c r="J7" s="7">
        <f t="shared" si="6"/>
        <v>0</v>
      </c>
      <c r="K7" s="8" t="e">
        <f>$J7/Headline!$I$28</f>
        <v>#DIV/0!</v>
      </c>
      <c r="L7" s="7">
        <f>(-PMT(Headline!$N$37/12,Headline!$I$37*12,'check share levels'!J7))</f>
        <v>0</v>
      </c>
      <c r="M7" s="7">
        <f>((Headline!$I$14-$G7)*Headline!$N$14)/12</f>
        <v>0</v>
      </c>
      <c r="N7" s="9">
        <f>Headline!$N$15/12</f>
        <v>0</v>
      </c>
      <c r="O7" s="9">
        <f t="shared" si="5"/>
        <v>0</v>
      </c>
      <c r="P7" s="136">
        <f>+IF(Headline!$I$28&gt;0,$O7/(((Headline!$I$34/12))),0)</f>
        <v>0</v>
      </c>
      <c r="R7" s="10"/>
    </row>
    <row r="8" spans="1:18" ht="12.75">
      <c r="A8" s="14" t="e">
        <f t="shared" si="1"/>
        <v>#DIV/0!</v>
      </c>
      <c r="B8" s="14">
        <f t="shared" si="0"/>
        <v>1</v>
      </c>
      <c r="C8" s="16">
        <f t="shared" si="2"/>
        <v>1</v>
      </c>
      <c r="D8" s="14" t="e">
        <f t="shared" si="3"/>
        <v>#DIV/0!</v>
      </c>
      <c r="E8" s="14" t="e">
        <f t="shared" si="4"/>
        <v>#DIV/0!</v>
      </c>
      <c r="F8" s="207">
        <v>0.31</v>
      </c>
      <c r="G8" s="7">
        <f>$F8*Headline!$I$14</f>
        <v>0</v>
      </c>
      <c r="H8" s="7">
        <f>Headline!$N$35</f>
        <v>0</v>
      </c>
      <c r="I8" s="12" t="str">
        <f>IF($H8&gt;=($G8*Headline!$N$34),"YES","NO")</f>
        <v>YES</v>
      </c>
      <c r="J8" s="7">
        <f t="shared" si="6"/>
        <v>0</v>
      </c>
      <c r="K8" s="8" t="e">
        <f>$J8/Headline!$I$28</f>
        <v>#DIV/0!</v>
      </c>
      <c r="L8" s="7">
        <f>(-PMT(Headline!$N$37/12,Headline!$I$37*12,'check share levels'!J8))</f>
        <v>0</v>
      </c>
      <c r="M8" s="7">
        <f>((Headline!$I$14-$G8)*Headline!$N$14)/12</f>
        <v>0</v>
      </c>
      <c r="N8" s="9">
        <f>Headline!$N$15/12</f>
        <v>0</v>
      </c>
      <c r="O8" s="9">
        <f t="shared" si="5"/>
        <v>0</v>
      </c>
      <c r="P8" s="136">
        <f>+IF(Headline!$I$28&gt;0,$O8/(((Headline!$I$34/12))),0)</f>
        <v>0</v>
      </c>
      <c r="R8" s="10"/>
    </row>
    <row r="9" spans="1:18" ht="12.75">
      <c r="A9" s="14" t="e">
        <f t="shared" si="1"/>
        <v>#DIV/0!</v>
      </c>
      <c r="B9" s="14">
        <f t="shared" si="0"/>
        <v>1</v>
      </c>
      <c r="C9" s="16">
        <f t="shared" si="2"/>
        <v>1</v>
      </c>
      <c r="D9" s="14" t="e">
        <f t="shared" si="3"/>
        <v>#DIV/0!</v>
      </c>
      <c r="E9" s="14" t="e">
        <f t="shared" si="4"/>
        <v>#DIV/0!</v>
      </c>
      <c r="F9" s="207">
        <v>0.32</v>
      </c>
      <c r="G9" s="7">
        <f>$F9*Headline!$I$14</f>
        <v>0</v>
      </c>
      <c r="H9" s="7">
        <f>Headline!$N$35</f>
        <v>0</v>
      </c>
      <c r="I9" s="12" t="str">
        <f>IF($H9&gt;=($G9*Headline!$N$34),"YES","NO")</f>
        <v>YES</v>
      </c>
      <c r="J9" s="7">
        <f t="shared" si="6"/>
        <v>0</v>
      </c>
      <c r="K9" s="8" t="e">
        <f>$J9/Headline!$I$28</f>
        <v>#DIV/0!</v>
      </c>
      <c r="L9" s="7">
        <f>(-PMT(Headline!$N$37/12,Headline!$I$37*12,'check share levels'!J9))</f>
        <v>0</v>
      </c>
      <c r="M9" s="7">
        <f>((Headline!$I$14-$G9)*Headline!$N$14)/12</f>
        <v>0</v>
      </c>
      <c r="N9" s="9">
        <f>Headline!$N$15/12</f>
        <v>0</v>
      </c>
      <c r="O9" s="9">
        <f t="shared" si="5"/>
        <v>0</v>
      </c>
      <c r="P9" s="136">
        <f>+IF(Headline!$I$28&gt;0,$O9/(((Headline!$I$34/12))),0)</f>
        <v>0</v>
      </c>
      <c r="R9" s="10"/>
    </row>
    <row r="10" spans="1:18" ht="12.75">
      <c r="A10" s="14" t="e">
        <f t="shared" si="1"/>
        <v>#DIV/0!</v>
      </c>
      <c r="B10" s="14">
        <f t="shared" si="0"/>
        <v>1</v>
      </c>
      <c r="C10" s="16">
        <f t="shared" si="2"/>
        <v>1</v>
      </c>
      <c r="D10" s="14" t="e">
        <f t="shared" si="3"/>
        <v>#DIV/0!</v>
      </c>
      <c r="E10" s="14" t="e">
        <f t="shared" si="4"/>
        <v>#DIV/0!</v>
      </c>
      <c r="F10" s="207">
        <v>0.33</v>
      </c>
      <c r="G10" s="7">
        <f>$F10*Headline!$I$14</f>
        <v>0</v>
      </c>
      <c r="H10" s="7">
        <f>Headline!$N$35</f>
        <v>0</v>
      </c>
      <c r="I10" s="12" t="str">
        <f>IF($H10&gt;=($G10*Headline!$N$34),"YES","NO")</f>
        <v>YES</v>
      </c>
      <c r="J10" s="7">
        <f t="shared" si="6"/>
        <v>0</v>
      </c>
      <c r="K10" s="8" t="e">
        <f>$J10/Headline!$I$28</f>
        <v>#DIV/0!</v>
      </c>
      <c r="L10" s="7">
        <f>(-PMT(Headline!$N$37/12,Headline!$I$37*12,'check share levels'!J10))</f>
        <v>0</v>
      </c>
      <c r="M10" s="7">
        <f>((Headline!$I$14-$G10)*Headline!$N$14)/12</f>
        <v>0</v>
      </c>
      <c r="N10" s="9">
        <f>Headline!$N$15/12</f>
        <v>0</v>
      </c>
      <c r="O10" s="9">
        <f t="shared" si="5"/>
        <v>0</v>
      </c>
      <c r="P10" s="136">
        <f>+IF(Headline!$I$28&gt;0,$O10/(((Headline!$I$34/12))),0)</f>
        <v>0</v>
      </c>
      <c r="R10" s="10"/>
    </row>
    <row r="11" spans="1:18" ht="12.75">
      <c r="A11" s="14" t="e">
        <f t="shared" si="1"/>
        <v>#DIV/0!</v>
      </c>
      <c r="B11" s="14">
        <f t="shared" si="0"/>
        <v>1</v>
      </c>
      <c r="C11" s="16">
        <f t="shared" si="2"/>
        <v>1</v>
      </c>
      <c r="D11" s="14" t="e">
        <f t="shared" si="3"/>
        <v>#DIV/0!</v>
      </c>
      <c r="E11" s="14" t="e">
        <f t="shared" si="4"/>
        <v>#DIV/0!</v>
      </c>
      <c r="F11" s="207">
        <v>0.34</v>
      </c>
      <c r="G11" s="7">
        <f>$F11*Headline!$I$14</f>
        <v>0</v>
      </c>
      <c r="H11" s="7">
        <f>Headline!$N$35</f>
        <v>0</v>
      </c>
      <c r="I11" s="12" t="str">
        <f>IF($H11&gt;=($G11*Headline!$N$34),"YES","NO")</f>
        <v>YES</v>
      </c>
      <c r="J11" s="7">
        <f t="shared" si="6"/>
        <v>0</v>
      </c>
      <c r="K11" s="8" t="e">
        <f>$J11/Headline!$I$28</f>
        <v>#DIV/0!</v>
      </c>
      <c r="L11" s="7">
        <f>(-PMT(Headline!$N$37/12,Headline!$I$37*12,'check share levels'!J11))</f>
        <v>0</v>
      </c>
      <c r="M11" s="7">
        <f>((Headline!$I$14-$G11)*Headline!$N$14)/12</f>
        <v>0</v>
      </c>
      <c r="N11" s="9">
        <f>Headline!$N$15/12</f>
        <v>0</v>
      </c>
      <c r="O11" s="9">
        <f t="shared" si="5"/>
        <v>0</v>
      </c>
      <c r="P11" s="136">
        <f>+IF(Headline!$I$28&gt;0,$O11/(((Headline!$I$34/12))),0)</f>
        <v>0</v>
      </c>
      <c r="R11" s="10"/>
    </row>
    <row r="12" spans="1:18" ht="12.75">
      <c r="A12" s="14" t="e">
        <f t="shared" si="1"/>
        <v>#DIV/0!</v>
      </c>
      <c r="B12" s="14">
        <f t="shared" si="0"/>
        <v>1</v>
      </c>
      <c r="C12" s="16">
        <f t="shared" si="2"/>
        <v>1</v>
      </c>
      <c r="D12" s="14" t="e">
        <f t="shared" si="3"/>
        <v>#DIV/0!</v>
      </c>
      <c r="E12" s="14" t="e">
        <f t="shared" si="4"/>
        <v>#DIV/0!</v>
      </c>
      <c r="F12" s="207">
        <v>0.35</v>
      </c>
      <c r="G12" s="7">
        <f>$F12*Headline!$I$14</f>
        <v>0</v>
      </c>
      <c r="H12" s="7">
        <f>Headline!$N$35</f>
        <v>0</v>
      </c>
      <c r="I12" s="12" t="str">
        <f>IF($H12&gt;=($G12*Headline!$N$34),"YES","NO")</f>
        <v>YES</v>
      </c>
      <c r="J12" s="7">
        <f t="shared" si="6"/>
        <v>0</v>
      </c>
      <c r="K12" s="8" t="e">
        <f>$J12/Headline!$I$28</f>
        <v>#DIV/0!</v>
      </c>
      <c r="L12" s="7">
        <f>(-PMT(Headline!$N$37/12,Headline!$I$37*12,'check share levels'!J12))</f>
        <v>0</v>
      </c>
      <c r="M12" s="7">
        <f>((Headline!$I$14-$G12)*Headline!$N$14)/12</f>
        <v>0</v>
      </c>
      <c r="N12" s="9">
        <f>Headline!$N$15/12</f>
        <v>0</v>
      </c>
      <c r="O12" s="9">
        <f t="shared" si="5"/>
        <v>0</v>
      </c>
      <c r="P12" s="136">
        <f>+IF(Headline!$I$28&gt;0,$O12/(((Headline!$I$34/12))),0)</f>
        <v>0</v>
      </c>
      <c r="R12" s="10"/>
    </row>
    <row r="13" spans="1:18" ht="12.75">
      <c r="A13" s="14" t="e">
        <f t="shared" si="1"/>
        <v>#DIV/0!</v>
      </c>
      <c r="B13" s="14">
        <f t="shared" si="0"/>
        <v>1</v>
      </c>
      <c r="C13" s="16">
        <f t="shared" si="2"/>
        <v>1</v>
      </c>
      <c r="D13" s="14" t="e">
        <f t="shared" si="3"/>
        <v>#DIV/0!</v>
      </c>
      <c r="E13" s="14" t="e">
        <f t="shared" si="4"/>
        <v>#DIV/0!</v>
      </c>
      <c r="F13" s="207">
        <v>0.36</v>
      </c>
      <c r="G13" s="7">
        <f>$F13*Headline!$I$14</f>
        <v>0</v>
      </c>
      <c r="H13" s="7">
        <f>Headline!$N$35</f>
        <v>0</v>
      </c>
      <c r="I13" s="12" t="str">
        <f>IF($H13&gt;=($G13*Headline!$N$34),"YES","NO")</f>
        <v>YES</v>
      </c>
      <c r="J13" s="7">
        <f t="shared" si="6"/>
        <v>0</v>
      </c>
      <c r="K13" s="8" t="e">
        <f>$J13/Headline!$I$28</f>
        <v>#DIV/0!</v>
      </c>
      <c r="L13" s="7">
        <f>(-PMT(Headline!$N$37/12,Headline!$I$37*12,'check share levels'!J13))</f>
        <v>0</v>
      </c>
      <c r="M13" s="7">
        <f>((Headline!$I$14-$G13)*Headline!$N$14)/12</f>
        <v>0</v>
      </c>
      <c r="N13" s="9">
        <f>Headline!$N$15/12</f>
        <v>0</v>
      </c>
      <c r="O13" s="9">
        <f t="shared" si="5"/>
        <v>0</v>
      </c>
      <c r="P13" s="136">
        <f>+IF(Headline!$I$28&gt;0,$O13/(((Headline!$I$34/12))),0)</f>
        <v>0</v>
      </c>
      <c r="R13" s="10"/>
    </row>
    <row r="14" spans="1:18" ht="12.75">
      <c r="A14" s="14" t="e">
        <f t="shared" si="1"/>
        <v>#DIV/0!</v>
      </c>
      <c r="B14" s="14">
        <f t="shared" si="0"/>
        <v>1</v>
      </c>
      <c r="C14" s="16">
        <f t="shared" si="2"/>
        <v>1</v>
      </c>
      <c r="D14" s="14" t="e">
        <f t="shared" si="3"/>
        <v>#DIV/0!</v>
      </c>
      <c r="E14" s="14" t="e">
        <f t="shared" si="4"/>
        <v>#DIV/0!</v>
      </c>
      <c r="F14" s="207">
        <v>0.37</v>
      </c>
      <c r="G14" s="7">
        <f>$F14*Headline!$I$14</f>
        <v>0</v>
      </c>
      <c r="H14" s="7">
        <f>Headline!$N$35</f>
        <v>0</v>
      </c>
      <c r="I14" s="12" t="str">
        <f>IF($H14&gt;=($G14*Headline!$N$34),"YES","NO")</f>
        <v>YES</v>
      </c>
      <c r="J14" s="7">
        <f t="shared" si="6"/>
        <v>0</v>
      </c>
      <c r="K14" s="8" t="e">
        <f>$J14/Headline!$I$28</f>
        <v>#DIV/0!</v>
      </c>
      <c r="L14" s="7">
        <f>(-PMT(Headline!$N$37/12,Headline!$I$37*12,'check share levels'!J14))</f>
        <v>0</v>
      </c>
      <c r="M14" s="7">
        <f>((Headline!$I$14-$G14)*Headline!$N$14)/12</f>
        <v>0</v>
      </c>
      <c r="N14" s="9">
        <f>Headline!$N$15/12</f>
        <v>0</v>
      </c>
      <c r="O14" s="9">
        <f t="shared" si="5"/>
        <v>0</v>
      </c>
      <c r="P14" s="136">
        <f>+IF(Headline!$I$28&gt;0,$O14/(((Headline!$I$34/12))),0)</f>
        <v>0</v>
      </c>
      <c r="R14" s="10"/>
    </row>
    <row r="15" spans="1:18" ht="12.75">
      <c r="A15" s="14" t="e">
        <f t="shared" si="1"/>
        <v>#DIV/0!</v>
      </c>
      <c r="B15" s="14">
        <f t="shared" si="0"/>
        <v>1</v>
      </c>
      <c r="C15" s="16">
        <f t="shared" si="2"/>
        <v>1</v>
      </c>
      <c r="D15" s="14" t="e">
        <f t="shared" si="3"/>
        <v>#DIV/0!</v>
      </c>
      <c r="E15" s="14" t="e">
        <f t="shared" si="4"/>
        <v>#DIV/0!</v>
      </c>
      <c r="F15" s="207">
        <v>0.38</v>
      </c>
      <c r="G15" s="7">
        <f>$F15*Headline!$I$14</f>
        <v>0</v>
      </c>
      <c r="H15" s="7">
        <f>Headline!$N$35</f>
        <v>0</v>
      </c>
      <c r="I15" s="12" t="str">
        <f>IF($H15&gt;=($G15*Headline!$N$34),"YES","NO")</f>
        <v>YES</v>
      </c>
      <c r="J15" s="7">
        <f t="shared" si="6"/>
        <v>0</v>
      </c>
      <c r="K15" s="8" t="e">
        <f>$J15/Headline!$I$28</f>
        <v>#DIV/0!</v>
      </c>
      <c r="L15" s="7">
        <f>(-PMT(Headline!$N$37/12,Headline!$I$37*12,'check share levels'!J15))</f>
        <v>0</v>
      </c>
      <c r="M15" s="7">
        <f>((Headline!$I$14-$G15)*Headline!$N$14)/12</f>
        <v>0</v>
      </c>
      <c r="N15" s="9">
        <f>Headline!$N$15/12</f>
        <v>0</v>
      </c>
      <c r="O15" s="9">
        <f t="shared" si="5"/>
        <v>0</v>
      </c>
      <c r="P15" s="136">
        <f>+IF(Headline!$I$28&gt;0,$O15/(((Headline!$I$34/12))),0)</f>
        <v>0</v>
      </c>
      <c r="R15" s="10"/>
    </row>
    <row r="16" spans="1:18" ht="12.75">
      <c r="A16" s="14" t="e">
        <f t="shared" si="1"/>
        <v>#DIV/0!</v>
      </c>
      <c r="B16" s="14">
        <f t="shared" si="0"/>
        <v>1</v>
      </c>
      <c r="C16" s="16">
        <f t="shared" si="2"/>
        <v>1</v>
      </c>
      <c r="D16" s="14" t="e">
        <f t="shared" si="3"/>
        <v>#DIV/0!</v>
      </c>
      <c r="E16" s="14" t="e">
        <f t="shared" si="4"/>
        <v>#DIV/0!</v>
      </c>
      <c r="F16" s="207">
        <v>0.39</v>
      </c>
      <c r="G16" s="7">
        <f>$F16*Headline!$I$14</f>
        <v>0</v>
      </c>
      <c r="H16" s="7">
        <f>Headline!$N$35</f>
        <v>0</v>
      </c>
      <c r="I16" s="12" t="str">
        <f>IF($H16&gt;=($G16*Headline!$N$34),"YES","NO")</f>
        <v>YES</v>
      </c>
      <c r="J16" s="7">
        <f t="shared" si="6"/>
        <v>0</v>
      </c>
      <c r="K16" s="8" t="e">
        <f>$J16/Headline!$I$28</f>
        <v>#DIV/0!</v>
      </c>
      <c r="L16" s="7">
        <f>(-PMT(Headline!$N$37/12,Headline!$I$37*12,'check share levels'!J16))</f>
        <v>0</v>
      </c>
      <c r="M16" s="7">
        <f>((Headline!$I$14-$G16)*Headline!$N$14)/12</f>
        <v>0</v>
      </c>
      <c r="N16" s="9">
        <f>Headline!$N$15/12</f>
        <v>0</v>
      </c>
      <c r="O16" s="9">
        <f t="shared" si="5"/>
        <v>0</v>
      </c>
      <c r="P16" s="136">
        <f>+IF(Headline!$I$28&gt;0,$O16/(((Headline!$I$34/12))),0)</f>
        <v>0</v>
      </c>
      <c r="R16" s="10"/>
    </row>
    <row r="17" spans="1:18" ht="12.75">
      <c r="A17" s="14" t="e">
        <f t="shared" si="1"/>
        <v>#DIV/0!</v>
      </c>
      <c r="B17" s="14">
        <f t="shared" si="0"/>
        <v>1</v>
      </c>
      <c r="C17" s="16">
        <f t="shared" si="2"/>
        <v>1</v>
      </c>
      <c r="D17" s="14" t="e">
        <f t="shared" si="3"/>
        <v>#DIV/0!</v>
      </c>
      <c r="E17" s="14" t="e">
        <f t="shared" si="4"/>
        <v>#DIV/0!</v>
      </c>
      <c r="F17" s="207">
        <v>0.4</v>
      </c>
      <c r="G17" s="7">
        <f>$F17*Headline!$I$14</f>
        <v>0</v>
      </c>
      <c r="H17" s="7">
        <f>Headline!$N$35</f>
        <v>0</v>
      </c>
      <c r="I17" s="12" t="str">
        <f>IF($H17&gt;=($G17*Headline!$N$34),"YES","NO")</f>
        <v>YES</v>
      </c>
      <c r="J17" s="7">
        <f t="shared" si="6"/>
        <v>0</v>
      </c>
      <c r="K17" s="8" t="e">
        <f>$J17/Headline!$I$28</f>
        <v>#DIV/0!</v>
      </c>
      <c r="L17" s="7">
        <f>(-PMT(Headline!$N$37/12,Headline!$I$37*12,'check share levels'!J17))</f>
        <v>0</v>
      </c>
      <c r="M17" s="7">
        <f>((Headline!$I$14-$G17)*Headline!$N$14)/12</f>
        <v>0</v>
      </c>
      <c r="N17" s="9">
        <f>Headline!$N$15/12</f>
        <v>0</v>
      </c>
      <c r="O17" s="9">
        <f t="shared" si="5"/>
        <v>0</v>
      </c>
      <c r="P17" s="136">
        <f>+IF(Headline!$I$28&gt;0,$O17/(((Headline!$I$34/12))),0)</f>
        <v>0</v>
      </c>
      <c r="R17" s="10"/>
    </row>
    <row r="18" spans="1:18" ht="12.75">
      <c r="A18" s="14" t="e">
        <f t="shared" si="1"/>
        <v>#DIV/0!</v>
      </c>
      <c r="B18" s="14">
        <f t="shared" si="0"/>
        <v>1</v>
      </c>
      <c r="C18" s="16">
        <f t="shared" si="2"/>
        <v>1</v>
      </c>
      <c r="D18" s="14" t="e">
        <f t="shared" si="3"/>
        <v>#DIV/0!</v>
      </c>
      <c r="E18" s="14" t="e">
        <f t="shared" si="4"/>
        <v>#DIV/0!</v>
      </c>
      <c r="F18" s="207">
        <v>0.41</v>
      </c>
      <c r="G18" s="7">
        <f>$F18*Headline!$I$14</f>
        <v>0</v>
      </c>
      <c r="H18" s="7">
        <f>Headline!$N$35</f>
        <v>0</v>
      </c>
      <c r="I18" s="12" t="str">
        <f>IF($H18&gt;=($G18*Headline!$N$34),"YES","NO")</f>
        <v>YES</v>
      </c>
      <c r="J18" s="7">
        <f t="shared" si="6"/>
        <v>0</v>
      </c>
      <c r="K18" s="8" t="e">
        <f>$J18/Headline!$I$28</f>
        <v>#DIV/0!</v>
      </c>
      <c r="L18" s="7">
        <f>(-PMT(Headline!$N$37/12,Headline!$I$37*12,'check share levels'!J18))</f>
        <v>0</v>
      </c>
      <c r="M18" s="7">
        <f>((Headline!$I$14-$G18)*Headline!$N$14)/12</f>
        <v>0</v>
      </c>
      <c r="N18" s="9">
        <f>Headline!$N$15/12</f>
        <v>0</v>
      </c>
      <c r="O18" s="9">
        <f t="shared" si="5"/>
        <v>0</v>
      </c>
      <c r="P18" s="136">
        <f>+IF(Headline!$I$28&gt;0,$O18/(((Headline!$I$34/12))),0)</f>
        <v>0</v>
      </c>
      <c r="R18" s="10"/>
    </row>
    <row r="19" spans="1:18" ht="12.75">
      <c r="A19" s="14" t="e">
        <f t="shared" si="1"/>
        <v>#DIV/0!</v>
      </c>
      <c r="B19" s="14">
        <f t="shared" si="0"/>
        <v>1</v>
      </c>
      <c r="C19" s="16">
        <f t="shared" si="2"/>
        <v>1</v>
      </c>
      <c r="D19" s="14" t="e">
        <f t="shared" si="3"/>
        <v>#DIV/0!</v>
      </c>
      <c r="E19" s="14" t="e">
        <f t="shared" si="4"/>
        <v>#DIV/0!</v>
      </c>
      <c r="F19" s="207">
        <v>0.42</v>
      </c>
      <c r="G19" s="7">
        <f>$F19*Headline!$I$14</f>
        <v>0</v>
      </c>
      <c r="H19" s="7">
        <f>Headline!$N$35</f>
        <v>0</v>
      </c>
      <c r="I19" s="12" t="str">
        <f>IF($H19&gt;=($G19*Headline!$N$34),"YES","NO")</f>
        <v>YES</v>
      </c>
      <c r="J19" s="7">
        <f t="shared" si="6"/>
        <v>0</v>
      </c>
      <c r="K19" s="8" t="e">
        <f>$J19/Headline!$I$28</f>
        <v>#DIV/0!</v>
      </c>
      <c r="L19" s="7">
        <f>(-PMT(Headline!$N$37/12,Headline!$I$37*12,'check share levels'!J19))</f>
        <v>0</v>
      </c>
      <c r="M19" s="7">
        <f>((Headline!$I$14-$G19)*Headline!$N$14)/12</f>
        <v>0</v>
      </c>
      <c r="N19" s="9">
        <f>Headline!$N$15/12</f>
        <v>0</v>
      </c>
      <c r="O19" s="9">
        <f t="shared" si="5"/>
        <v>0</v>
      </c>
      <c r="P19" s="136">
        <f>+IF(Headline!$I$28&gt;0,$O19/(((Headline!$I$34/12))),0)</f>
        <v>0</v>
      </c>
      <c r="R19" s="10"/>
    </row>
    <row r="20" spans="1:18" ht="12.75">
      <c r="A20" s="14" t="e">
        <f t="shared" si="1"/>
        <v>#DIV/0!</v>
      </c>
      <c r="B20" s="14">
        <f t="shared" si="0"/>
        <v>1</v>
      </c>
      <c r="C20" s="16">
        <f t="shared" si="2"/>
        <v>1</v>
      </c>
      <c r="D20" s="14" t="e">
        <f t="shared" si="3"/>
        <v>#DIV/0!</v>
      </c>
      <c r="E20" s="14" t="e">
        <f t="shared" si="4"/>
        <v>#DIV/0!</v>
      </c>
      <c r="F20" s="207">
        <v>0.43</v>
      </c>
      <c r="G20" s="7">
        <f>$F20*Headline!$I$14</f>
        <v>0</v>
      </c>
      <c r="H20" s="7">
        <f>Headline!$N$35</f>
        <v>0</v>
      </c>
      <c r="I20" s="12" t="str">
        <f>IF($H20&gt;=($G20*Headline!$N$34),"YES","NO")</f>
        <v>YES</v>
      </c>
      <c r="J20" s="7">
        <f t="shared" si="6"/>
        <v>0</v>
      </c>
      <c r="K20" s="8" t="e">
        <f>$J20/Headline!$I$28</f>
        <v>#DIV/0!</v>
      </c>
      <c r="L20" s="7">
        <f>(-PMT(Headline!$N$37/12,Headline!$I$37*12,'check share levels'!J20))</f>
        <v>0</v>
      </c>
      <c r="M20" s="7">
        <f>((Headline!$I$14-$G20)*Headline!$N$14)/12</f>
        <v>0</v>
      </c>
      <c r="N20" s="9">
        <f>Headline!$N$15/12</f>
        <v>0</v>
      </c>
      <c r="O20" s="9">
        <f t="shared" si="5"/>
        <v>0</v>
      </c>
      <c r="P20" s="136">
        <f>+IF(Headline!$I$28&gt;0,$O20/(((Headline!$I$34/12))),0)</f>
        <v>0</v>
      </c>
      <c r="R20" s="10"/>
    </row>
    <row r="21" spans="1:18" ht="12.75">
      <c r="A21" s="14" t="e">
        <f t="shared" si="1"/>
        <v>#DIV/0!</v>
      </c>
      <c r="B21" s="14">
        <f t="shared" si="0"/>
        <v>1</v>
      </c>
      <c r="C21" s="16">
        <f t="shared" si="2"/>
        <v>1</v>
      </c>
      <c r="D21" s="14" t="e">
        <f t="shared" si="3"/>
        <v>#DIV/0!</v>
      </c>
      <c r="E21" s="14" t="e">
        <f t="shared" si="4"/>
        <v>#DIV/0!</v>
      </c>
      <c r="F21" s="207">
        <v>0.44</v>
      </c>
      <c r="G21" s="7">
        <f>$F21*Headline!$I$14</f>
        <v>0</v>
      </c>
      <c r="H21" s="7">
        <f>Headline!$N$35</f>
        <v>0</v>
      </c>
      <c r="I21" s="12" t="str">
        <f>IF($H21&gt;=($G21*Headline!$N$34),"YES","NO")</f>
        <v>YES</v>
      </c>
      <c r="J21" s="7">
        <f t="shared" si="6"/>
        <v>0</v>
      </c>
      <c r="K21" s="8" t="e">
        <f>$J21/Headline!$I$28</f>
        <v>#DIV/0!</v>
      </c>
      <c r="L21" s="7">
        <f>(-PMT(Headline!$N$37/12,Headline!$I$37*12,'check share levels'!J21))</f>
        <v>0</v>
      </c>
      <c r="M21" s="7">
        <f>((Headline!$I$14-$G21)*Headline!$N$14)/12</f>
        <v>0</v>
      </c>
      <c r="N21" s="9">
        <f>Headline!$N$15/12</f>
        <v>0</v>
      </c>
      <c r="O21" s="9">
        <f t="shared" si="5"/>
        <v>0</v>
      </c>
      <c r="P21" s="136">
        <f>+IF(Headline!$I$28&gt;0,$O21/(((Headline!$I$34/12))),0)</f>
        <v>0</v>
      </c>
      <c r="R21" s="10"/>
    </row>
    <row r="22" spans="1:18" ht="12.75">
      <c r="A22" s="14" t="e">
        <f t="shared" si="1"/>
        <v>#DIV/0!</v>
      </c>
      <c r="B22" s="14">
        <f t="shared" si="0"/>
        <v>1</v>
      </c>
      <c r="C22" s="16">
        <f t="shared" si="2"/>
        <v>1</v>
      </c>
      <c r="D22" s="14" t="e">
        <f t="shared" si="3"/>
        <v>#DIV/0!</v>
      </c>
      <c r="E22" s="14" t="e">
        <f t="shared" si="4"/>
        <v>#DIV/0!</v>
      </c>
      <c r="F22" s="207">
        <v>0.45</v>
      </c>
      <c r="G22" s="7">
        <f>$F22*Headline!$I$14</f>
        <v>0</v>
      </c>
      <c r="H22" s="7">
        <f>Headline!$N$35</f>
        <v>0</v>
      </c>
      <c r="I22" s="12" t="str">
        <f>IF($H22&gt;=($G22*Headline!$N$34),"YES","NO")</f>
        <v>YES</v>
      </c>
      <c r="J22" s="7">
        <f t="shared" si="6"/>
        <v>0</v>
      </c>
      <c r="K22" s="8" t="e">
        <f>$J22/Headline!$I$28</f>
        <v>#DIV/0!</v>
      </c>
      <c r="L22" s="7">
        <f>(-PMT(Headline!$N$37/12,Headline!$I$37*12,'check share levels'!J22))</f>
        <v>0</v>
      </c>
      <c r="M22" s="7">
        <f>((Headline!$I$14-$G22)*Headline!$N$14)/12</f>
        <v>0</v>
      </c>
      <c r="N22" s="9">
        <f>Headline!$N$15/12</f>
        <v>0</v>
      </c>
      <c r="O22" s="9">
        <f t="shared" si="5"/>
        <v>0</v>
      </c>
      <c r="P22" s="136">
        <f>+IF(Headline!$I$28&gt;0,$O22/(((Headline!$I$34/12))),0)</f>
        <v>0</v>
      </c>
      <c r="R22" s="10"/>
    </row>
    <row r="23" spans="1:18" ht="12.75">
      <c r="A23" s="14" t="e">
        <f t="shared" si="1"/>
        <v>#DIV/0!</v>
      </c>
      <c r="B23" s="14">
        <f t="shared" si="0"/>
        <v>1</v>
      </c>
      <c r="C23" s="16">
        <f t="shared" si="2"/>
        <v>1</v>
      </c>
      <c r="D23" s="14" t="e">
        <f t="shared" si="3"/>
        <v>#DIV/0!</v>
      </c>
      <c r="E23" s="14" t="e">
        <f t="shared" si="4"/>
        <v>#DIV/0!</v>
      </c>
      <c r="F23" s="207">
        <v>0.46</v>
      </c>
      <c r="G23" s="7">
        <f>$F23*Headline!$I$14</f>
        <v>0</v>
      </c>
      <c r="H23" s="7">
        <f>Headline!$N$35</f>
        <v>0</v>
      </c>
      <c r="I23" s="12" t="str">
        <f>IF($H23&gt;=($G23*Headline!$N$34),"YES","NO")</f>
        <v>YES</v>
      </c>
      <c r="J23" s="7">
        <f t="shared" si="6"/>
        <v>0</v>
      </c>
      <c r="K23" s="8" t="e">
        <f>$J23/Headline!$I$28</f>
        <v>#DIV/0!</v>
      </c>
      <c r="L23" s="7">
        <f>(-PMT(Headline!$N$37/12,Headline!$I$37*12,'check share levels'!J23))</f>
        <v>0</v>
      </c>
      <c r="M23" s="7">
        <f>((Headline!$I$14-$G23)*Headline!$N$14)/12</f>
        <v>0</v>
      </c>
      <c r="N23" s="9">
        <f>Headline!$N$15/12</f>
        <v>0</v>
      </c>
      <c r="O23" s="9">
        <f t="shared" si="5"/>
        <v>0</v>
      </c>
      <c r="P23" s="136">
        <f>+IF(Headline!$I$28&gt;0,$O23/(((Headline!$I$34/12))),0)</f>
        <v>0</v>
      </c>
      <c r="R23" s="10"/>
    </row>
    <row r="24" spans="1:18" ht="12.75">
      <c r="A24" s="14" t="e">
        <f t="shared" si="1"/>
        <v>#DIV/0!</v>
      </c>
      <c r="B24" s="14">
        <f t="shared" si="0"/>
        <v>1</v>
      </c>
      <c r="C24" s="16">
        <f t="shared" si="2"/>
        <v>1</v>
      </c>
      <c r="D24" s="14" t="e">
        <f t="shared" si="3"/>
        <v>#DIV/0!</v>
      </c>
      <c r="E24" s="14" t="e">
        <f t="shared" si="4"/>
        <v>#DIV/0!</v>
      </c>
      <c r="F24" s="207">
        <v>0.47</v>
      </c>
      <c r="G24" s="7">
        <f>$F24*Headline!$I$14</f>
        <v>0</v>
      </c>
      <c r="H24" s="7">
        <f>Headline!$N$35</f>
        <v>0</v>
      </c>
      <c r="I24" s="12" t="str">
        <f>IF($H24&gt;=($G24*Headline!$N$34),"YES","NO")</f>
        <v>YES</v>
      </c>
      <c r="J24" s="7">
        <f t="shared" si="6"/>
        <v>0</v>
      </c>
      <c r="K24" s="8" t="e">
        <f>$J24/Headline!$I$28</f>
        <v>#DIV/0!</v>
      </c>
      <c r="L24" s="7">
        <f>(-PMT(Headline!$N$37/12,Headline!$I$37*12,'check share levels'!J24))</f>
        <v>0</v>
      </c>
      <c r="M24" s="7">
        <f>((Headline!$I$14-$G24)*Headline!$N$14)/12</f>
        <v>0</v>
      </c>
      <c r="N24" s="9">
        <f>Headline!$N$15/12</f>
        <v>0</v>
      </c>
      <c r="O24" s="9">
        <f t="shared" si="5"/>
        <v>0</v>
      </c>
      <c r="P24" s="136">
        <f>+IF(Headline!$I$28&gt;0,$O24/(((Headline!$I$34/12))),0)</f>
        <v>0</v>
      </c>
      <c r="R24" s="10"/>
    </row>
    <row r="25" spans="1:18" ht="12.75">
      <c r="A25" s="14" t="e">
        <f t="shared" si="1"/>
        <v>#DIV/0!</v>
      </c>
      <c r="B25" s="14">
        <f t="shared" si="0"/>
        <v>1</v>
      </c>
      <c r="C25" s="16">
        <f t="shared" si="2"/>
        <v>1</v>
      </c>
      <c r="D25" s="14" t="e">
        <f t="shared" si="3"/>
        <v>#DIV/0!</v>
      </c>
      <c r="E25" s="14" t="e">
        <f t="shared" si="4"/>
        <v>#DIV/0!</v>
      </c>
      <c r="F25" s="207">
        <v>0.48</v>
      </c>
      <c r="G25" s="7">
        <f>$F25*Headline!$I$14</f>
        <v>0</v>
      </c>
      <c r="H25" s="7">
        <f>Headline!$N$35</f>
        <v>0</v>
      </c>
      <c r="I25" s="12" t="str">
        <f>IF($H25&gt;=($G25*Headline!$N$34),"YES","NO")</f>
        <v>YES</v>
      </c>
      <c r="J25" s="7">
        <f t="shared" si="6"/>
        <v>0</v>
      </c>
      <c r="K25" s="8" t="e">
        <f>$J25/Headline!$I$28</f>
        <v>#DIV/0!</v>
      </c>
      <c r="L25" s="7">
        <f>(-PMT(Headline!$N$37/12,Headline!$I$37*12,'check share levels'!J25))</f>
        <v>0</v>
      </c>
      <c r="M25" s="7">
        <f>((Headline!$I$14-$G25)*Headline!$N$14)/12</f>
        <v>0</v>
      </c>
      <c r="N25" s="9">
        <f>Headline!$N$15/12</f>
        <v>0</v>
      </c>
      <c r="O25" s="9">
        <f t="shared" si="5"/>
        <v>0</v>
      </c>
      <c r="P25" s="136">
        <f>+IF(Headline!$I$28&gt;0,$O25/(((Headline!$I$34/12))),0)</f>
        <v>0</v>
      </c>
      <c r="R25" s="10"/>
    </row>
    <row r="26" spans="1:18" ht="12.75">
      <c r="A26" s="14" t="e">
        <f>IF($K26&gt;$R$1,2,1)</f>
        <v>#DIV/0!</v>
      </c>
      <c r="B26" s="14">
        <f t="shared" si="0"/>
        <v>1</v>
      </c>
      <c r="C26" s="16">
        <f t="shared" si="2"/>
        <v>1</v>
      </c>
      <c r="D26" s="14" t="e">
        <f t="shared" si="3"/>
        <v>#DIV/0!</v>
      </c>
      <c r="E26" s="14" t="e">
        <f t="shared" si="4"/>
        <v>#DIV/0!</v>
      </c>
      <c r="F26" s="207">
        <v>0.49</v>
      </c>
      <c r="G26" s="7">
        <f>$F26*Headline!$I$14</f>
        <v>0</v>
      </c>
      <c r="H26" s="7">
        <f>Headline!$N$35</f>
        <v>0</v>
      </c>
      <c r="I26" s="12" t="str">
        <f>IF($H26&gt;=($G26*Headline!$N$34),"YES","NO")</f>
        <v>YES</v>
      </c>
      <c r="J26" s="7">
        <f t="shared" si="6"/>
        <v>0</v>
      </c>
      <c r="K26" s="8" t="e">
        <f>$J26/Headline!$I$28</f>
        <v>#DIV/0!</v>
      </c>
      <c r="L26" s="7">
        <f>(-PMT(Headline!$N$37/12,Headline!$I$37*12,'check share levels'!J26))</f>
        <v>0</v>
      </c>
      <c r="M26" s="7">
        <f>((Headline!$I$14-$G26)*Headline!$N$14)/12</f>
        <v>0</v>
      </c>
      <c r="N26" s="9">
        <f>Headline!$N$15/12</f>
        <v>0</v>
      </c>
      <c r="O26" s="9">
        <f t="shared" si="5"/>
        <v>0</v>
      </c>
      <c r="P26" s="136">
        <f>+IF(Headline!$I$28&gt;0,$O26/(((Headline!$I$34/12))),0)</f>
        <v>0</v>
      </c>
      <c r="R26" s="10"/>
    </row>
    <row r="27" spans="1:18" ht="12.75">
      <c r="A27" s="14" t="e">
        <f t="shared" si="1"/>
        <v>#DIV/0!</v>
      </c>
      <c r="B27" s="14">
        <f t="shared" si="0"/>
        <v>1</v>
      </c>
      <c r="C27" s="16">
        <f t="shared" si="2"/>
        <v>1</v>
      </c>
      <c r="D27" s="14" t="e">
        <f t="shared" si="3"/>
        <v>#DIV/0!</v>
      </c>
      <c r="E27" s="14" t="e">
        <f t="shared" si="4"/>
        <v>#DIV/0!</v>
      </c>
      <c r="F27" s="207">
        <v>0.5</v>
      </c>
      <c r="G27" s="7">
        <f>$F27*Headline!$I$14</f>
        <v>0</v>
      </c>
      <c r="H27" s="7">
        <f>Headline!$N$35</f>
        <v>0</v>
      </c>
      <c r="I27" s="12" t="str">
        <f>IF($H27&gt;=($G27*Headline!$N$34),"YES","NO")</f>
        <v>YES</v>
      </c>
      <c r="J27" s="7">
        <f t="shared" si="6"/>
        <v>0</v>
      </c>
      <c r="K27" s="8" t="e">
        <f>$J27/Headline!$I$28</f>
        <v>#DIV/0!</v>
      </c>
      <c r="L27" s="7">
        <f>(-PMT(Headline!$N$37/12,Headline!$I$37*12,'check share levels'!J27))</f>
        <v>0</v>
      </c>
      <c r="M27" s="7">
        <f>((Headline!$I$14-$G27)*Headline!$N$14)/12</f>
        <v>0</v>
      </c>
      <c r="N27" s="9">
        <f>Headline!$N$15/12</f>
        <v>0</v>
      </c>
      <c r="O27" s="9">
        <f t="shared" si="5"/>
        <v>0</v>
      </c>
      <c r="P27" s="136">
        <f>+IF(Headline!$I$28&gt;0,$O27/(((Headline!$I$34/12))),0)</f>
        <v>0</v>
      </c>
      <c r="R27" s="10"/>
    </row>
    <row r="28" spans="1:18" ht="12.75">
      <c r="A28" s="14" t="e">
        <f t="shared" si="1"/>
        <v>#DIV/0!</v>
      </c>
      <c r="B28" s="14">
        <f t="shared" si="0"/>
        <v>1</v>
      </c>
      <c r="C28" s="16">
        <f t="shared" si="2"/>
        <v>1</v>
      </c>
      <c r="D28" s="14" t="e">
        <f t="shared" si="3"/>
        <v>#DIV/0!</v>
      </c>
      <c r="E28" s="14" t="e">
        <f t="shared" si="4"/>
        <v>#DIV/0!</v>
      </c>
      <c r="F28" s="207">
        <v>0.51</v>
      </c>
      <c r="G28" s="7">
        <f>$F28*Headline!$I$14</f>
        <v>0</v>
      </c>
      <c r="H28" s="7">
        <f>Headline!$N$35</f>
        <v>0</v>
      </c>
      <c r="I28" s="12" t="str">
        <f>IF($H28&gt;=($G28*Headline!$N$34),"YES","NO")</f>
        <v>YES</v>
      </c>
      <c r="J28" s="7">
        <f t="shared" si="6"/>
        <v>0</v>
      </c>
      <c r="K28" s="8" t="e">
        <f>$J28/Headline!$I$28</f>
        <v>#DIV/0!</v>
      </c>
      <c r="L28" s="7">
        <f>(-PMT(Headline!$N$37/12,Headline!$I$37*12,'check share levels'!J28))</f>
        <v>0</v>
      </c>
      <c r="M28" s="7">
        <f>((Headline!$I$14-$G28)*Headline!$N$14)/12</f>
        <v>0</v>
      </c>
      <c r="N28" s="9">
        <f>Headline!$N$15/12</f>
        <v>0</v>
      </c>
      <c r="O28" s="9">
        <f t="shared" si="5"/>
        <v>0</v>
      </c>
      <c r="P28" s="136">
        <f>+IF(Headline!$I$28&gt;0,$O28/(((Headline!$I$34/12))),0)</f>
        <v>0</v>
      </c>
      <c r="R28" s="10"/>
    </row>
    <row r="29" spans="1:18" ht="12.75">
      <c r="A29" s="14" t="e">
        <f t="shared" si="1"/>
        <v>#DIV/0!</v>
      </c>
      <c r="B29" s="14">
        <f t="shared" si="0"/>
        <v>1</v>
      </c>
      <c r="C29" s="16">
        <f t="shared" si="2"/>
        <v>1</v>
      </c>
      <c r="D29" s="14" t="e">
        <f t="shared" si="3"/>
        <v>#DIV/0!</v>
      </c>
      <c r="E29" s="14" t="e">
        <f t="shared" si="4"/>
        <v>#DIV/0!</v>
      </c>
      <c r="F29" s="207">
        <v>0.52</v>
      </c>
      <c r="G29" s="7">
        <f>$F29*Headline!$I$14</f>
        <v>0</v>
      </c>
      <c r="H29" s="7">
        <f>Headline!$N$35</f>
        <v>0</v>
      </c>
      <c r="I29" s="12" t="str">
        <f>IF($H29&gt;=($G29*Headline!$N$34),"YES","NO")</f>
        <v>YES</v>
      </c>
      <c r="J29" s="7">
        <f t="shared" si="6"/>
        <v>0</v>
      </c>
      <c r="K29" s="8" t="e">
        <f>$J29/Headline!$I$28</f>
        <v>#DIV/0!</v>
      </c>
      <c r="L29" s="7">
        <f>(-PMT(Headline!$N$37/12,Headline!$I$37*12,'check share levels'!J29))</f>
        <v>0</v>
      </c>
      <c r="M29" s="7">
        <f>((Headline!$I$14-$G29)*Headline!$N$14)/12</f>
        <v>0</v>
      </c>
      <c r="N29" s="9">
        <f>Headline!$N$15/12</f>
        <v>0</v>
      </c>
      <c r="O29" s="9">
        <f t="shared" si="5"/>
        <v>0</v>
      </c>
      <c r="P29" s="136">
        <f>+IF(Headline!$I$28&gt;0,$O29/(((Headline!$I$34/12))),0)</f>
        <v>0</v>
      </c>
      <c r="R29" s="10"/>
    </row>
    <row r="30" spans="1:18" ht="12.75">
      <c r="A30" s="14" t="e">
        <f t="shared" si="1"/>
        <v>#DIV/0!</v>
      </c>
      <c r="B30" s="14">
        <f t="shared" si="0"/>
        <v>1</v>
      </c>
      <c r="C30" s="16">
        <f t="shared" si="2"/>
        <v>1</v>
      </c>
      <c r="D30" s="14" t="e">
        <f t="shared" si="3"/>
        <v>#DIV/0!</v>
      </c>
      <c r="E30" s="14" t="e">
        <f t="shared" si="4"/>
        <v>#DIV/0!</v>
      </c>
      <c r="F30" s="207">
        <v>0.53</v>
      </c>
      <c r="G30" s="7">
        <f>$F30*Headline!$I$14</f>
        <v>0</v>
      </c>
      <c r="H30" s="7">
        <f>Headline!$N$35</f>
        <v>0</v>
      </c>
      <c r="I30" s="12" t="str">
        <f>IF($H30&gt;=($G30*Headline!$N$34),"YES","NO")</f>
        <v>YES</v>
      </c>
      <c r="J30" s="7">
        <f t="shared" si="6"/>
        <v>0</v>
      </c>
      <c r="K30" s="8" t="e">
        <f>$J30/Headline!$I$28</f>
        <v>#DIV/0!</v>
      </c>
      <c r="L30" s="7">
        <f>(-PMT(Headline!$N$37/12,Headline!$I$37*12,'check share levels'!J30))</f>
        <v>0</v>
      </c>
      <c r="M30" s="7">
        <f>((Headline!$I$14-$G30)*Headline!$N$14)/12</f>
        <v>0</v>
      </c>
      <c r="N30" s="9">
        <f>Headline!$N$15/12</f>
        <v>0</v>
      </c>
      <c r="O30" s="9">
        <f t="shared" si="5"/>
        <v>0</v>
      </c>
      <c r="P30" s="136">
        <f>+IF(Headline!$I$28&gt;0,$O30/(((Headline!$I$34/12))),0)</f>
        <v>0</v>
      </c>
      <c r="R30" s="10"/>
    </row>
    <row r="31" spans="1:18" ht="12.75">
      <c r="A31" s="14" t="e">
        <f t="shared" si="1"/>
        <v>#DIV/0!</v>
      </c>
      <c r="B31" s="14">
        <f t="shared" si="0"/>
        <v>1</v>
      </c>
      <c r="C31" s="16">
        <f t="shared" si="2"/>
        <v>1</v>
      </c>
      <c r="D31" s="14" t="e">
        <f t="shared" si="3"/>
        <v>#DIV/0!</v>
      </c>
      <c r="E31" s="14" t="e">
        <f t="shared" si="4"/>
        <v>#DIV/0!</v>
      </c>
      <c r="F31" s="207">
        <v>0.54</v>
      </c>
      <c r="G31" s="7">
        <f>$F31*Headline!$I$14</f>
        <v>0</v>
      </c>
      <c r="H31" s="7">
        <f>Headline!$N$35</f>
        <v>0</v>
      </c>
      <c r="I31" s="12" t="str">
        <f>IF($H31&gt;=($G31*Headline!$N$34),"YES","NO")</f>
        <v>YES</v>
      </c>
      <c r="J31" s="7">
        <f t="shared" si="6"/>
        <v>0</v>
      </c>
      <c r="K31" s="8" t="e">
        <f>$J31/Headline!$I$28</f>
        <v>#DIV/0!</v>
      </c>
      <c r="L31" s="7">
        <f>(-PMT(Headline!$N$37/12,Headline!$I$37*12,'check share levels'!J31))</f>
        <v>0</v>
      </c>
      <c r="M31" s="7">
        <f>((Headline!$I$14-$G31)*Headline!$N$14)/12</f>
        <v>0</v>
      </c>
      <c r="N31" s="9">
        <f>Headline!$N$15/12</f>
        <v>0</v>
      </c>
      <c r="O31" s="9">
        <f t="shared" si="5"/>
        <v>0</v>
      </c>
      <c r="P31" s="136">
        <f>+IF(Headline!$I$28&gt;0,$O31/(((Headline!$I$34/12))),0)</f>
        <v>0</v>
      </c>
      <c r="R31" s="10"/>
    </row>
    <row r="32" spans="1:18" ht="12.75">
      <c r="A32" s="14" t="e">
        <f t="shared" si="1"/>
        <v>#DIV/0!</v>
      </c>
      <c r="B32" s="14">
        <f t="shared" si="0"/>
        <v>1</v>
      </c>
      <c r="C32" s="16">
        <f t="shared" si="2"/>
        <v>1</v>
      </c>
      <c r="D32" s="14" t="e">
        <f t="shared" si="3"/>
        <v>#DIV/0!</v>
      </c>
      <c r="E32" s="14" t="e">
        <f t="shared" si="4"/>
        <v>#DIV/0!</v>
      </c>
      <c r="F32" s="207">
        <v>0.55</v>
      </c>
      <c r="G32" s="7">
        <f>$F32*Headline!$I$14</f>
        <v>0</v>
      </c>
      <c r="H32" s="7">
        <f>Headline!$N$35</f>
        <v>0</v>
      </c>
      <c r="I32" s="12" t="str">
        <f>IF($H32&gt;=($G32*Headline!$N$34),"YES","NO")</f>
        <v>YES</v>
      </c>
      <c r="J32" s="7">
        <f t="shared" si="6"/>
        <v>0</v>
      </c>
      <c r="K32" s="8" t="e">
        <f>$J32/Headline!$I$28</f>
        <v>#DIV/0!</v>
      </c>
      <c r="L32" s="7">
        <f>(-PMT(Headline!$N$37/12,Headline!$I$37*12,'check share levels'!J32))</f>
        <v>0</v>
      </c>
      <c r="M32" s="7">
        <f>((Headline!$I$14-$G32)*Headline!$N$14)/12</f>
        <v>0</v>
      </c>
      <c r="N32" s="9">
        <f>Headline!$N$15/12</f>
        <v>0</v>
      </c>
      <c r="O32" s="9">
        <f t="shared" si="5"/>
        <v>0</v>
      </c>
      <c r="P32" s="136">
        <f>+IF(Headline!$I$28&gt;0,$O32/(((Headline!$I$34/12))),0)</f>
        <v>0</v>
      </c>
      <c r="R32" s="10"/>
    </row>
    <row r="33" spans="1:18" ht="12.75">
      <c r="A33" s="14" t="e">
        <f t="shared" si="1"/>
        <v>#DIV/0!</v>
      </c>
      <c r="B33" s="14">
        <f t="shared" si="0"/>
        <v>1</v>
      </c>
      <c r="C33" s="16">
        <f t="shared" si="2"/>
        <v>1</v>
      </c>
      <c r="D33" s="14" t="e">
        <f t="shared" si="3"/>
        <v>#DIV/0!</v>
      </c>
      <c r="E33" s="14" t="e">
        <f t="shared" si="4"/>
        <v>#DIV/0!</v>
      </c>
      <c r="F33" s="207">
        <v>0.56</v>
      </c>
      <c r="G33" s="7">
        <f>$F33*Headline!$I$14</f>
        <v>0</v>
      </c>
      <c r="H33" s="7">
        <f>Headline!$N$35</f>
        <v>0</v>
      </c>
      <c r="I33" s="12" t="str">
        <f>IF($H33&gt;=($G33*Headline!$N$34),"YES","NO")</f>
        <v>YES</v>
      </c>
      <c r="J33" s="7">
        <f t="shared" si="6"/>
        <v>0</v>
      </c>
      <c r="K33" s="8" t="e">
        <f>$J33/Headline!$I$28</f>
        <v>#DIV/0!</v>
      </c>
      <c r="L33" s="7">
        <f>(-PMT(Headline!$N$37/12,Headline!$I$37*12,'check share levels'!J33))</f>
        <v>0</v>
      </c>
      <c r="M33" s="7">
        <f>((Headline!$I$14-$G33)*Headline!$N$14)/12</f>
        <v>0</v>
      </c>
      <c r="N33" s="9">
        <f>Headline!$N$15/12</f>
        <v>0</v>
      </c>
      <c r="O33" s="9">
        <f t="shared" si="5"/>
        <v>0</v>
      </c>
      <c r="P33" s="136">
        <f>+IF(Headline!$I$28&gt;0,$O33/(((Headline!$I$34/12))),0)</f>
        <v>0</v>
      </c>
      <c r="R33" s="10"/>
    </row>
    <row r="34" spans="1:18" ht="12.75">
      <c r="A34" s="14" t="e">
        <f t="shared" si="1"/>
        <v>#DIV/0!</v>
      </c>
      <c r="B34" s="14">
        <f t="shared" si="0"/>
        <v>1</v>
      </c>
      <c r="C34" s="16">
        <f t="shared" si="2"/>
        <v>1</v>
      </c>
      <c r="D34" s="14" t="e">
        <f t="shared" si="3"/>
        <v>#DIV/0!</v>
      </c>
      <c r="E34" s="14" t="e">
        <f t="shared" si="4"/>
        <v>#DIV/0!</v>
      </c>
      <c r="F34" s="207">
        <v>0.57</v>
      </c>
      <c r="G34" s="7">
        <f>$F34*Headline!$I$14</f>
        <v>0</v>
      </c>
      <c r="H34" s="7">
        <f>Headline!$N$35</f>
        <v>0</v>
      </c>
      <c r="I34" s="12" t="str">
        <f>IF($H34&gt;=($G34*Headline!$N$34),"YES","NO")</f>
        <v>YES</v>
      </c>
      <c r="J34" s="7">
        <f t="shared" si="6"/>
        <v>0</v>
      </c>
      <c r="K34" s="8" t="e">
        <f>$J34/Headline!$I$28</f>
        <v>#DIV/0!</v>
      </c>
      <c r="L34" s="7">
        <f>(-PMT(Headline!$N$37/12,Headline!$I$37*12,'check share levels'!J34))</f>
        <v>0</v>
      </c>
      <c r="M34" s="7">
        <f>((Headline!$I$14-$G34)*Headline!$N$14)/12</f>
        <v>0</v>
      </c>
      <c r="N34" s="9">
        <f>Headline!$N$15/12</f>
        <v>0</v>
      </c>
      <c r="O34" s="9">
        <f t="shared" si="5"/>
        <v>0</v>
      </c>
      <c r="P34" s="136">
        <f>+IF(Headline!$I$28&gt;0,$O34/(((Headline!$I$34/12))),0)</f>
        <v>0</v>
      </c>
      <c r="R34" s="10"/>
    </row>
    <row r="35" spans="1:18" ht="12.75">
      <c r="A35" s="14" t="e">
        <f t="shared" si="1"/>
        <v>#DIV/0!</v>
      </c>
      <c r="B35" s="14">
        <f t="shared" si="0"/>
        <v>1</v>
      </c>
      <c r="C35" s="16">
        <f t="shared" si="2"/>
        <v>1</v>
      </c>
      <c r="D35" s="14" t="e">
        <f t="shared" si="3"/>
        <v>#DIV/0!</v>
      </c>
      <c r="E35" s="14" t="e">
        <f t="shared" si="4"/>
        <v>#DIV/0!</v>
      </c>
      <c r="F35" s="207">
        <v>0.58</v>
      </c>
      <c r="G35" s="7">
        <f>$F35*Headline!$I$14</f>
        <v>0</v>
      </c>
      <c r="H35" s="7">
        <f>Headline!$N$35</f>
        <v>0</v>
      </c>
      <c r="I35" s="12" t="str">
        <f>IF($H35&gt;=($G35*Headline!$N$34),"YES","NO")</f>
        <v>YES</v>
      </c>
      <c r="J35" s="7">
        <f t="shared" si="6"/>
        <v>0</v>
      </c>
      <c r="K35" s="8" t="e">
        <f>$J35/Headline!$I$28</f>
        <v>#DIV/0!</v>
      </c>
      <c r="L35" s="7">
        <f>(-PMT(Headline!$N$37/12,Headline!$I$37*12,'check share levels'!J35))</f>
        <v>0</v>
      </c>
      <c r="M35" s="7">
        <f>((Headline!$I$14-$G35)*Headline!$N$14)/12</f>
        <v>0</v>
      </c>
      <c r="N35" s="9">
        <f>Headline!$N$15/12</f>
        <v>0</v>
      </c>
      <c r="O35" s="9">
        <f t="shared" si="5"/>
        <v>0</v>
      </c>
      <c r="P35" s="136">
        <f>+IF(Headline!$I$28&gt;0,$O35/(((Headline!$I$34/12))),0)</f>
        <v>0</v>
      </c>
      <c r="R35" s="10"/>
    </row>
    <row r="36" spans="1:18" ht="12.75">
      <c r="A36" s="14" t="e">
        <f t="shared" si="1"/>
        <v>#DIV/0!</v>
      </c>
      <c r="B36" s="14">
        <f t="shared" si="0"/>
        <v>1</v>
      </c>
      <c r="C36" s="16">
        <f t="shared" si="2"/>
        <v>1</v>
      </c>
      <c r="D36" s="14" t="e">
        <f t="shared" si="3"/>
        <v>#DIV/0!</v>
      </c>
      <c r="E36" s="14" t="e">
        <f t="shared" si="4"/>
        <v>#DIV/0!</v>
      </c>
      <c r="F36" s="207">
        <v>0.59</v>
      </c>
      <c r="G36" s="7">
        <f>$F36*Headline!$I$14</f>
        <v>0</v>
      </c>
      <c r="H36" s="7">
        <f>Headline!$N$35</f>
        <v>0</v>
      </c>
      <c r="I36" s="12" t="str">
        <f>IF($H36&gt;=($G36*Headline!$N$34),"YES","NO")</f>
        <v>YES</v>
      </c>
      <c r="J36" s="7">
        <f t="shared" si="6"/>
        <v>0</v>
      </c>
      <c r="K36" s="8" t="e">
        <f>$J36/Headline!$I$28</f>
        <v>#DIV/0!</v>
      </c>
      <c r="L36" s="7">
        <f>(-PMT(Headline!$N$37/12,Headline!$I$37*12,'check share levels'!J36))</f>
        <v>0</v>
      </c>
      <c r="M36" s="7">
        <f>((Headline!$I$14-$G36)*Headline!$N$14)/12</f>
        <v>0</v>
      </c>
      <c r="N36" s="9">
        <f>Headline!$N$15/12</f>
        <v>0</v>
      </c>
      <c r="O36" s="9">
        <f t="shared" si="5"/>
        <v>0</v>
      </c>
      <c r="P36" s="136">
        <f>+IF(Headline!$I$28&gt;0,$O36/(((Headline!$I$34/12))),0)</f>
        <v>0</v>
      </c>
      <c r="R36" s="10"/>
    </row>
    <row r="37" spans="1:18" ht="12.75">
      <c r="A37" s="14" t="e">
        <f t="shared" si="1"/>
        <v>#DIV/0!</v>
      </c>
      <c r="B37" s="14">
        <f t="shared" si="0"/>
        <v>1</v>
      </c>
      <c r="C37" s="16">
        <f t="shared" si="2"/>
        <v>1</v>
      </c>
      <c r="D37" s="14" t="e">
        <f t="shared" si="3"/>
        <v>#DIV/0!</v>
      </c>
      <c r="E37" s="14" t="e">
        <f t="shared" si="4"/>
        <v>#DIV/0!</v>
      </c>
      <c r="F37" s="207">
        <v>0.6</v>
      </c>
      <c r="G37" s="7">
        <f>$F37*Headline!$I$14</f>
        <v>0</v>
      </c>
      <c r="H37" s="7">
        <f>Headline!$N$35</f>
        <v>0</v>
      </c>
      <c r="I37" s="12" t="str">
        <f>IF($H37&gt;=($G37*Headline!$N$34),"YES","NO")</f>
        <v>YES</v>
      </c>
      <c r="J37" s="7">
        <f t="shared" si="6"/>
        <v>0</v>
      </c>
      <c r="K37" s="8" t="e">
        <f>$J37/Headline!$I$28</f>
        <v>#DIV/0!</v>
      </c>
      <c r="L37" s="7">
        <f>(-PMT(Headline!$N$37/12,Headline!$I$37*12,'check share levels'!J37))</f>
        <v>0</v>
      </c>
      <c r="M37" s="7">
        <f>((Headline!$I$14-$G37)*Headline!$N$14)/12</f>
        <v>0</v>
      </c>
      <c r="N37" s="9">
        <f>Headline!$N$15/12</f>
        <v>0</v>
      </c>
      <c r="O37" s="9">
        <f t="shared" si="5"/>
        <v>0</v>
      </c>
      <c r="P37" s="136">
        <f>+IF(Headline!$I$28&gt;0,$O37/(((Headline!$I$34/12))),0)</f>
        <v>0</v>
      </c>
      <c r="R37" s="10"/>
    </row>
    <row r="38" spans="1:18" ht="12.75">
      <c r="A38" s="14" t="e">
        <f t="shared" si="1"/>
        <v>#DIV/0!</v>
      </c>
      <c r="B38" s="14">
        <f t="shared" si="0"/>
        <v>1</v>
      </c>
      <c r="C38" s="16">
        <f t="shared" si="2"/>
        <v>1</v>
      </c>
      <c r="D38" s="14" t="e">
        <f t="shared" si="3"/>
        <v>#DIV/0!</v>
      </c>
      <c r="E38" s="14" t="e">
        <f t="shared" si="4"/>
        <v>#DIV/0!</v>
      </c>
      <c r="F38" s="207">
        <v>0.61</v>
      </c>
      <c r="G38" s="7">
        <f>$F38*Headline!$I$14</f>
        <v>0</v>
      </c>
      <c r="H38" s="7">
        <f>Headline!$N$35</f>
        <v>0</v>
      </c>
      <c r="I38" s="12" t="str">
        <f>IF($H38&gt;=($G38*Headline!$N$34),"YES","NO")</f>
        <v>YES</v>
      </c>
      <c r="J38" s="7">
        <f t="shared" si="6"/>
        <v>0</v>
      </c>
      <c r="K38" s="8" t="e">
        <f>$J38/Headline!$I$28</f>
        <v>#DIV/0!</v>
      </c>
      <c r="L38" s="7">
        <f>(-PMT(Headline!$N$37/12,Headline!$I$37*12,'check share levels'!J38))</f>
        <v>0</v>
      </c>
      <c r="M38" s="7">
        <f>((Headline!$I$14-$G38)*Headline!$N$14)/12</f>
        <v>0</v>
      </c>
      <c r="N38" s="9">
        <f>Headline!$N$15/12</f>
        <v>0</v>
      </c>
      <c r="O38" s="9">
        <f t="shared" si="5"/>
        <v>0</v>
      </c>
      <c r="P38" s="136">
        <f>+IF(Headline!$I$28&gt;0,$O38/(((Headline!$I$34/12))),0)</f>
        <v>0</v>
      </c>
      <c r="R38" s="10"/>
    </row>
    <row r="39" spans="1:18" ht="12.75">
      <c r="A39" s="14" t="e">
        <f t="shared" si="1"/>
        <v>#DIV/0!</v>
      </c>
      <c r="B39" s="14">
        <f t="shared" si="0"/>
        <v>1</v>
      </c>
      <c r="C39" s="16">
        <f t="shared" si="2"/>
        <v>1</v>
      </c>
      <c r="D39" s="14" t="e">
        <f t="shared" si="3"/>
        <v>#DIV/0!</v>
      </c>
      <c r="E39" s="14" t="e">
        <f t="shared" si="4"/>
        <v>#DIV/0!</v>
      </c>
      <c r="F39" s="207">
        <v>0.62</v>
      </c>
      <c r="G39" s="7">
        <f>$F39*Headline!$I$14</f>
        <v>0</v>
      </c>
      <c r="H39" s="7">
        <f>Headline!$N$35</f>
        <v>0</v>
      </c>
      <c r="I39" s="12" t="str">
        <f>IF($H39&gt;=($G39*Headline!$N$34),"YES","NO")</f>
        <v>YES</v>
      </c>
      <c r="J39" s="7">
        <f t="shared" si="6"/>
        <v>0</v>
      </c>
      <c r="K39" s="8" t="e">
        <f>$J39/Headline!$I$28</f>
        <v>#DIV/0!</v>
      </c>
      <c r="L39" s="7">
        <f>(-PMT(Headline!$N$37/12,Headline!$I$37*12,'check share levels'!J39))</f>
        <v>0</v>
      </c>
      <c r="M39" s="7">
        <f>((Headline!$I$14-$G39)*Headline!$N$14)/12</f>
        <v>0</v>
      </c>
      <c r="N39" s="9">
        <f>Headline!$N$15/12</f>
        <v>0</v>
      </c>
      <c r="O39" s="9">
        <f t="shared" si="5"/>
        <v>0</v>
      </c>
      <c r="P39" s="136">
        <f>+IF(Headline!$I$28&gt;0,$O39/(((Headline!$I$34/12))),0)</f>
        <v>0</v>
      </c>
      <c r="R39" s="10"/>
    </row>
    <row r="40" spans="1:18" ht="12.75">
      <c r="A40" s="14" t="e">
        <f t="shared" si="1"/>
        <v>#DIV/0!</v>
      </c>
      <c r="B40" s="14">
        <f t="shared" si="0"/>
        <v>1</v>
      </c>
      <c r="C40" s="16">
        <f t="shared" si="2"/>
        <v>1</v>
      </c>
      <c r="D40" s="14" t="e">
        <f t="shared" si="3"/>
        <v>#DIV/0!</v>
      </c>
      <c r="E40" s="14" t="e">
        <f t="shared" si="4"/>
        <v>#DIV/0!</v>
      </c>
      <c r="F40" s="207">
        <v>0.63</v>
      </c>
      <c r="G40" s="7">
        <f>$F40*Headline!$I$14</f>
        <v>0</v>
      </c>
      <c r="H40" s="7">
        <f>Headline!$N$35</f>
        <v>0</v>
      </c>
      <c r="I40" s="12" t="str">
        <f>IF($H40&gt;=($G40*Headline!$N$34),"YES","NO")</f>
        <v>YES</v>
      </c>
      <c r="J40" s="7">
        <f t="shared" si="6"/>
        <v>0</v>
      </c>
      <c r="K40" s="8" t="e">
        <f>$J40/Headline!$I$28</f>
        <v>#DIV/0!</v>
      </c>
      <c r="L40" s="7">
        <f>(-PMT(Headline!$N$37/12,Headline!$I$37*12,'check share levels'!J40))</f>
        <v>0</v>
      </c>
      <c r="M40" s="7">
        <f>((Headline!$I$14-$G40)*Headline!$N$14)/12</f>
        <v>0</v>
      </c>
      <c r="N40" s="9">
        <f>Headline!$N$15/12</f>
        <v>0</v>
      </c>
      <c r="O40" s="9">
        <f t="shared" si="5"/>
        <v>0</v>
      </c>
      <c r="P40" s="136">
        <f>+IF(Headline!$I$28&gt;0,$O40/(((Headline!$I$34/12))),0)</f>
        <v>0</v>
      </c>
      <c r="R40" s="10"/>
    </row>
    <row r="41" spans="1:18" ht="12.75">
      <c r="A41" s="14" t="e">
        <f t="shared" si="1"/>
        <v>#DIV/0!</v>
      </c>
      <c r="B41" s="14">
        <f t="shared" si="0"/>
        <v>1</v>
      </c>
      <c r="C41" s="16">
        <f t="shared" si="2"/>
        <v>1</v>
      </c>
      <c r="D41" s="14" t="e">
        <f t="shared" si="3"/>
        <v>#DIV/0!</v>
      </c>
      <c r="E41" s="14" t="e">
        <f t="shared" si="4"/>
        <v>#DIV/0!</v>
      </c>
      <c r="F41" s="207">
        <v>0.64</v>
      </c>
      <c r="G41" s="7">
        <f>$F41*Headline!$I$14</f>
        <v>0</v>
      </c>
      <c r="H41" s="7">
        <f>Headline!$N$35</f>
        <v>0</v>
      </c>
      <c r="I41" s="12" t="str">
        <f>IF($H41&gt;=($G41*Headline!$N$34),"YES","NO")</f>
        <v>YES</v>
      </c>
      <c r="J41" s="7">
        <f t="shared" si="6"/>
        <v>0</v>
      </c>
      <c r="K41" s="8" t="e">
        <f>$J41/Headline!$I$28</f>
        <v>#DIV/0!</v>
      </c>
      <c r="L41" s="7">
        <f>(-PMT(Headline!$N$37/12,Headline!$I$37*12,'check share levels'!J41))</f>
        <v>0</v>
      </c>
      <c r="M41" s="7">
        <f>((Headline!$I$14-$G41)*Headline!$N$14)/12</f>
        <v>0</v>
      </c>
      <c r="N41" s="9">
        <f>Headline!$N$15/12</f>
        <v>0</v>
      </c>
      <c r="O41" s="9">
        <f t="shared" si="5"/>
        <v>0</v>
      </c>
      <c r="P41" s="136">
        <f>+IF(Headline!$I$28&gt;0,$O41/(((Headline!$I$34/12))),0)</f>
        <v>0</v>
      </c>
      <c r="R41" s="10"/>
    </row>
    <row r="42" spans="1:18" ht="12.75">
      <c r="A42" s="14" t="e">
        <f t="shared" si="1"/>
        <v>#DIV/0!</v>
      </c>
      <c r="B42" s="14">
        <f t="shared" si="0"/>
        <v>1</v>
      </c>
      <c r="C42" s="16">
        <f t="shared" si="2"/>
        <v>1</v>
      </c>
      <c r="D42" s="14" t="e">
        <f t="shared" si="3"/>
        <v>#DIV/0!</v>
      </c>
      <c r="E42" s="14" t="e">
        <f t="shared" si="4"/>
        <v>#DIV/0!</v>
      </c>
      <c r="F42" s="207">
        <v>0.65</v>
      </c>
      <c r="G42" s="7">
        <f>$F42*Headline!$I$14</f>
        <v>0</v>
      </c>
      <c r="H42" s="7">
        <f>Headline!$N$35</f>
        <v>0</v>
      </c>
      <c r="I42" s="12" t="str">
        <f>IF($H42&gt;=($G42*Headline!$N$34),"YES","NO")</f>
        <v>YES</v>
      </c>
      <c r="J42" s="7">
        <f t="shared" si="6"/>
        <v>0</v>
      </c>
      <c r="K42" s="8" t="e">
        <f>$J42/Headline!$I$28</f>
        <v>#DIV/0!</v>
      </c>
      <c r="L42" s="7">
        <f>(-PMT(Headline!$N$37/12,Headline!$I$37*12,'check share levels'!J42))</f>
        <v>0</v>
      </c>
      <c r="M42" s="7">
        <f>((Headline!$I$14-$G42)*Headline!$N$14)/12</f>
        <v>0</v>
      </c>
      <c r="N42" s="9">
        <f>Headline!$N$15/12</f>
        <v>0</v>
      </c>
      <c r="O42" s="9">
        <f t="shared" si="5"/>
        <v>0</v>
      </c>
      <c r="P42" s="136">
        <f>+IF(Headline!$I$28&gt;0,$O42/(((Headline!$I$34/12))),0)</f>
        <v>0</v>
      </c>
      <c r="R42" s="10"/>
    </row>
    <row r="43" spans="1:18" ht="12.75">
      <c r="A43" s="14" t="e">
        <f t="shared" si="1"/>
        <v>#DIV/0!</v>
      </c>
      <c r="B43" s="14">
        <f t="shared" si="0"/>
        <v>1</v>
      </c>
      <c r="C43" s="16">
        <f t="shared" si="2"/>
        <v>1</v>
      </c>
      <c r="D43" s="14" t="e">
        <f t="shared" si="3"/>
        <v>#DIV/0!</v>
      </c>
      <c r="E43" s="14" t="e">
        <f t="shared" si="4"/>
        <v>#DIV/0!</v>
      </c>
      <c r="F43" s="207">
        <v>0.66</v>
      </c>
      <c r="G43" s="7">
        <f>$F43*Headline!$I$14</f>
        <v>0</v>
      </c>
      <c r="H43" s="7">
        <f>Headline!$N$35</f>
        <v>0</v>
      </c>
      <c r="I43" s="12" t="str">
        <f>IF($H43&gt;=($G43*Headline!$N$34),"YES","NO")</f>
        <v>YES</v>
      </c>
      <c r="J43" s="7">
        <f t="shared" si="6"/>
        <v>0</v>
      </c>
      <c r="K43" s="8" t="e">
        <f>$J43/Headline!$I$28</f>
        <v>#DIV/0!</v>
      </c>
      <c r="L43" s="7">
        <f>(-PMT(Headline!$N$37/12,Headline!$I$37*12,'check share levels'!J43))</f>
        <v>0</v>
      </c>
      <c r="M43" s="7">
        <f>((Headline!$I$14-$G43)*Headline!$N$14)/12</f>
        <v>0</v>
      </c>
      <c r="N43" s="9">
        <f>Headline!$N$15/12</f>
        <v>0</v>
      </c>
      <c r="O43" s="9">
        <f t="shared" si="5"/>
        <v>0</v>
      </c>
      <c r="P43" s="136">
        <f>+IF(Headline!$I$28&gt;0,$O43/(((Headline!$I$34/12))),0)</f>
        <v>0</v>
      </c>
      <c r="R43" s="10"/>
    </row>
    <row r="44" spans="1:18" ht="12.75">
      <c r="A44" s="14" t="e">
        <f t="shared" si="1"/>
        <v>#DIV/0!</v>
      </c>
      <c r="B44" s="14">
        <f t="shared" si="0"/>
        <v>1</v>
      </c>
      <c r="C44" s="16">
        <f t="shared" si="2"/>
        <v>1</v>
      </c>
      <c r="D44" s="14" t="e">
        <f t="shared" si="3"/>
        <v>#DIV/0!</v>
      </c>
      <c r="E44" s="14" t="e">
        <f t="shared" si="4"/>
        <v>#DIV/0!</v>
      </c>
      <c r="F44" s="207">
        <v>0.67</v>
      </c>
      <c r="G44" s="7">
        <f>$F44*Headline!$I$14</f>
        <v>0</v>
      </c>
      <c r="H44" s="7">
        <f>Headline!$N$35</f>
        <v>0</v>
      </c>
      <c r="I44" s="12" t="str">
        <f>IF($H44&gt;=($G44*Headline!$N$34),"YES","NO")</f>
        <v>YES</v>
      </c>
      <c r="J44" s="7">
        <f t="shared" si="6"/>
        <v>0</v>
      </c>
      <c r="K44" s="8" t="e">
        <f>$J44/Headline!$I$28</f>
        <v>#DIV/0!</v>
      </c>
      <c r="L44" s="7">
        <f>(-PMT(Headline!$N$37/12,Headline!$I$37*12,'check share levels'!J44))</f>
        <v>0</v>
      </c>
      <c r="M44" s="7">
        <f>((Headline!$I$14-$G44)*Headline!$N$14)/12</f>
        <v>0</v>
      </c>
      <c r="N44" s="9">
        <f>Headline!$N$15/12</f>
        <v>0</v>
      </c>
      <c r="O44" s="9">
        <f t="shared" si="5"/>
        <v>0</v>
      </c>
      <c r="P44" s="136">
        <f>+IF(Headline!$I$28&gt;0,$O44/(((Headline!$I$34/12))),0)</f>
        <v>0</v>
      </c>
      <c r="R44" s="10"/>
    </row>
    <row r="45" spans="1:18" ht="12.75">
      <c r="A45" s="14" t="e">
        <f t="shared" si="1"/>
        <v>#DIV/0!</v>
      </c>
      <c r="B45" s="14">
        <f t="shared" si="0"/>
        <v>1</v>
      </c>
      <c r="C45" s="16">
        <f t="shared" si="2"/>
        <v>1</v>
      </c>
      <c r="D45" s="14" t="e">
        <f t="shared" si="3"/>
        <v>#DIV/0!</v>
      </c>
      <c r="E45" s="14" t="e">
        <f t="shared" si="4"/>
        <v>#DIV/0!</v>
      </c>
      <c r="F45" s="207">
        <v>0.68</v>
      </c>
      <c r="G45" s="7">
        <f>$F45*Headline!$I$14</f>
        <v>0</v>
      </c>
      <c r="H45" s="7">
        <f>Headline!$N$35</f>
        <v>0</v>
      </c>
      <c r="I45" s="12" t="str">
        <f>IF($H45&gt;=($G45*Headline!$N$34),"YES","NO")</f>
        <v>YES</v>
      </c>
      <c r="J45" s="7">
        <f t="shared" si="6"/>
        <v>0</v>
      </c>
      <c r="K45" s="8" t="e">
        <f>$J45/Headline!$I$28</f>
        <v>#DIV/0!</v>
      </c>
      <c r="L45" s="7">
        <f>(-PMT(Headline!$N$37/12,Headline!$I$37*12,'check share levels'!J45))</f>
        <v>0</v>
      </c>
      <c r="M45" s="7">
        <f>((Headline!$I$14-$G45)*Headline!$N$14)/12</f>
        <v>0</v>
      </c>
      <c r="N45" s="9">
        <f>Headline!$N$15/12</f>
        <v>0</v>
      </c>
      <c r="O45" s="9">
        <f t="shared" si="5"/>
        <v>0</v>
      </c>
      <c r="P45" s="136">
        <f>+IF(Headline!$I$28&gt;0,$O45/(((Headline!$I$34/12))),0)</f>
        <v>0</v>
      </c>
      <c r="R45" s="10"/>
    </row>
    <row r="46" spans="1:18" ht="12.75">
      <c r="A46" s="14" t="e">
        <f t="shared" si="1"/>
        <v>#DIV/0!</v>
      </c>
      <c r="B46" s="14">
        <f t="shared" si="0"/>
        <v>1</v>
      </c>
      <c r="C46" s="16">
        <f t="shared" si="2"/>
        <v>1</v>
      </c>
      <c r="D46" s="14" t="e">
        <f t="shared" si="3"/>
        <v>#DIV/0!</v>
      </c>
      <c r="E46" s="14" t="e">
        <f t="shared" si="4"/>
        <v>#DIV/0!</v>
      </c>
      <c r="F46" s="207">
        <v>0.69</v>
      </c>
      <c r="G46" s="7">
        <f>$F46*Headline!$I$14</f>
        <v>0</v>
      </c>
      <c r="H46" s="7">
        <f>Headline!$N$35</f>
        <v>0</v>
      </c>
      <c r="I46" s="12" t="str">
        <f>IF($H46&gt;=($G46*Headline!$N$34),"YES","NO")</f>
        <v>YES</v>
      </c>
      <c r="J46" s="7">
        <f t="shared" si="6"/>
        <v>0</v>
      </c>
      <c r="K46" s="8" t="e">
        <f>$J46/Headline!$I$28</f>
        <v>#DIV/0!</v>
      </c>
      <c r="L46" s="7">
        <f>(-PMT(Headline!$N$37/12,Headline!$I$37*12,'check share levels'!J46))</f>
        <v>0</v>
      </c>
      <c r="M46" s="7">
        <f>((Headline!$I$14-$G46)*Headline!$N$14)/12</f>
        <v>0</v>
      </c>
      <c r="N46" s="9">
        <f>Headline!$N$15/12</f>
        <v>0</v>
      </c>
      <c r="O46" s="9">
        <f t="shared" si="5"/>
        <v>0</v>
      </c>
      <c r="P46" s="136">
        <f>+IF(Headline!$I$28&gt;0,$O46/(((Headline!$I$34/12))),0)</f>
        <v>0</v>
      </c>
      <c r="R46" s="10"/>
    </row>
    <row r="47" spans="1:18" ht="12.75">
      <c r="A47" s="14" t="e">
        <f t="shared" si="1"/>
        <v>#DIV/0!</v>
      </c>
      <c r="B47" s="14">
        <f t="shared" si="0"/>
        <v>1</v>
      </c>
      <c r="C47" s="16">
        <f t="shared" si="2"/>
        <v>1</v>
      </c>
      <c r="D47" s="14" t="e">
        <f t="shared" si="3"/>
        <v>#DIV/0!</v>
      </c>
      <c r="E47" s="14" t="e">
        <f t="shared" si="4"/>
        <v>#DIV/0!</v>
      </c>
      <c r="F47" s="207">
        <v>0.7</v>
      </c>
      <c r="G47" s="7">
        <f>$F47*Headline!$I$14</f>
        <v>0</v>
      </c>
      <c r="H47" s="7">
        <f>Headline!$N$35</f>
        <v>0</v>
      </c>
      <c r="I47" s="12" t="str">
        <f>IF($H47&gt;=($G47*Headline!$N$34),"YES","NO")</f>
        <v>YES</v>
      </c>
      <c r="J47" s="7">
        <f t="shared" si="6"/>
        <v>0</v>
      </c>
      <c r="K47" s="8" t="e">
        <f>$J47/Headline!$I$28</f>
        <v>#DIV/0!</v>
      </c>
      <c r="L47" s="7">
        <f>(-PMT(Headline!$N$37/12,Headline!$I$37*12,'check share levels'!J47))</f>
        <v>0</v>
      </c>
      <c r="M47" s="7">
        <f>((Headline!$I$14-$G47)*Headline!$N$14)/12</f>
        <v>0</v>
      </c>
      <c r="N47" s="9">
        <f>Headline!$N$15/12</f>
        <v>0</v>
      </c>
      <c r="O47" s="9">
        <f t="shared" si="5"/>
        <v>0</v>
      </c>
      <c r="P47" s="136">
        <f>+IF(Headline!$I$28&gt;0,$O47/(((Headline!$I$34/12))),0)</f>
        <v>0</v>
      </c>
      <c r="R47" s="10"/>
    </row>
    <row r="48" spans="1:18" ht="12.75">
      <c r="A48" s="14" t="e">
        <f t="shared" si="1"/>
        <v>#DIV/0!</v>
      </c>
      <c r="B48" s="14">
        <f t="shared" si="0"/>
        <v>1</v>
      </c>
      <c r="C48" s="16">
        <f t="shared" si="2"/>
        <v>1</v>
      </c>
      <c r="D48" s="14" t="e">
        <f t="shared" si="3"/>
        <v>#DIV/0!</v>
      </c>
      <c r="E48" s="14" t="e">
        <f t="shared" si="4"/>
        <v>#DIV/0!</v>
      </c>
      <c r="F48" s="207">
        <v>0.71</v>
      </c>
      <c r="G48" s="7">
        <f>$F48*Headline!$I$14</f>
        <v>0</v>
      </c>
      <c r="H48" s="7">
        <f>Headline!$N$35</f>
        <v>0</v>
      </c>
      <c r="I48" s="12" t="str">
        <f>IF($H48&gt;=($G48*Headline!$N$34),"YES","NO")</f>
        <v>YES</v>
      </c>
      <c r="J48" s="7">
        <f t="shared" si="6"/>
        <v>0</v>
      </c>
      <c r="K48" s="8" t="e">
        <f>$J48/Headline!$I$28</f>
        <v>#DIV/0!</v>
      </c>
      <c r="L48" s="7">
        <f>(-PMT(Headline!$N$37/12,Headline!$I$37*12,'check share levels'!J48))</f>
        <v>0</v>
      </c>
      <c r="M48" s="7">
        <f>((Headline!$I$14-$G48)*Headline!$N$14)/12</f>
        <v>0</v>
      </c>
      <c r="N48" s="9">
        <f>Headline!$N$15/12</f>
        <v>0</v>
      </c>
      <c r="O48" s="9">
        <f t="shared" si="5"/>
        <v>0</v>
      </c>
      <c r="P48" s="136">
        <f>+IF(Headline!$I$28&gt;0,$O48/(((Headline!$I$34/12))),0)</f>
        <v>0</v>
      </c>
      <c r="R48" s="10"/>
    </row>
    <row r="49" spans="1:18" ht="12.75">
      <c r="A49" s="14" t="e">
        <f t="shared" si="1"/>
        <v>#DIV/0!</v>
      </c>
      <c r="B49" s="14">
        <f t="shared" si="0"/>
        <v>1</v>
      </c>
      <c r="C49" s="16">
        <f t="shared" si="2"/>
        <v>1</v>
      </c>
      <c r="D49" s="14" t="e">
        <f t="shared" si="3"/>
        <v>#DIV/0!</v>
      </c>
      <c r="E49" s="14" t="e">
        <f t="shared" si="4"/>
        <v>#DIV/0!</v>
      </c>
      <c r="F49" s="207">
        <v>0.72</v>
      </c>
      <c r="G49" s="7">
        <f>$F49*Headline!$I$14</f>
        <v>0</v>
      </c>
      <c r="H49" s="7">
        <f>Headline!$N$35</f>
        <v>0</v>
      </c>
      <c r="I49" s="12" t="str">
        <f>IF($H49&gt;=($G49*Headline!$N$34),"YES","NO")</f>
        <v>YES</v>
      </c>
      <c r="J49" s="7">
        <f t="shared" si="6"/>
        <v>0</v>
      </c>
      <c r="K49" s="8" t="e">
        <f>$J49/Headline!$I$28</f>
        <v>#DIV/0!</v>
      </c>
      <c r="L49" s="7">
        <f>(-PMT(Headline!$N$37/12,Headline!$I$37*12,'check share levels'!J49))</f>
        <v>0</v>
      </c>
      <c r="M49" s="7">
        <f>((Headline!$I$14-$G49)*Headline!$N$14)/12</f>
        <v>0</v>
      </c>
      <c r="N49" s="9">
        <f>Headline!$N$15/12</f>
        <v>0</v>
      </c>
      <c r="O49" s="9">
        <f t="shared" si="5"/>
        <v>0</v>
      </c>
      <c r="P49" s="136">
        <f>+IF(Headline!$I$28&gt;0,$O49/(((Headline!$I$34/12))),0)</f>
        <v>0</v>
      </c>
      <c r="R49" s="10"/>
    </row>
    <row r="50" spans="1:18" ht="12.75">
      <c r="A50" s="14" t="e">
        <f t="shared" si="1"/>
        <v>#DIV/0!</v>
      </c>
      <c r="B50" s="14">
        <f t="shared" si="0"/>
        <v>1</v>
      </c>
      <c r="C50" s="16">
        <f t="shared" si="2"/>
        <v>1</v>
      </c>
      <c r="D50" s="14" t="e">
        <f t="shared" si="3"/>
        <v>#DIV/0!</v>
      </c>
      <c r="E50" s="14" t="e">
        <f t="shared" si="4"/>
        <v>#DIV/0!</v>
      </c>
      <c r="F50" s="207">
        <v>0.73</v>
      </c>
      <c r="G50" s="7">
        <f>$F50*Headline!$I$14</f>
        <v>0</v>
      </c>
      <c r="H50" s="7">
        <f>Headline!$N$35</f>
        <v>0</v>
      </c>
      <c r="I50" s="12" t="str">
        <f>IF($H50&gt;=($G50*Headline!$N$34),"YES","NO")</f>
        <v>YES</v>
      </c>
      <c r="J50" s="7">
        <f t="shared" si="6"/>
        <v>0</v>
      </c>
      <c r="K50" s="8" t="e">
        <f>$J50/Headline!$I$28</f>
        <v>#DIV/0!</v>
      </c>
      <c r="L50" s="7">
        <f>(-PMT(Headline!$N$37/12,Headline!$I$37*12,'check share levels'!J50))</f>
        <v>0</v>
      </c>
      <c r="M50" s="7">
        <f>((Headline!$I$14-$G50)*Headline!$N$14)/12</f>
        <v>0</v>
      </c>
      <c r="N50" s="9">
        <f>Headline!$N$15/12</f>
        <v>0</v>
      </c>
      <c r="O50" s="9">
        <f t="shared" si="5"/>
        <v>0</v>
      </c>
      <c r="P50" s="136">
        <f>+IF(Headline!$I$28&gt;0,$O50/(((Headline!$I$34/12))),0)</f>
        <v>0</v>
      </c>
      <c r="R50" s="10"/>
    </row>
    <row r="51" spans="1:18" ht="12.75">
      <c r="A51" s="14" t="e">
        <f t="shared" si="1"/>
        <v>#DIV/0!</v>
      </c>
      <c r="B51" s="14">
        <f t="shared" si="0"/>
        <v>1</v>
      </c>
      <c r="C51" s="16">
        <f t="shared" si="2"/>
        <v>1</v>
      </c>
      <c r="D51" s="14" t="e">
        <f t="shared" si="3"/>
        <v>#DIV/0!</v>
      </c>
      <c r="E51" s="14" t="e">
        <f t="shared" si="4"/>
        <v>#DIV/0!</v>
      </c>
      <c r="F51" s="207">
        <v>0.74</v>
      </c>
      <c r="G51" s="7">
        <f>$F51*Headline!$I$14</f>
        <v>0</v>
      </c>
      <c r="H51" s="7">
        <f>Headline!$N$35</f>
        <v>0</v>
      </c>
      <c r="I51" s="12" t="str">
        <f>IF($H51&gt;=($G51*Headline!$N$34),"YES","NO")</f>
        <v>YES</v>
      </c>
      <c r="J51" s="7">
        <f t="shared" si="6"/>
        <v>0</v>
      </c>
      <c r="K51" s="8" t="e">
        <f>$J51/Headline!$I$28</f>
        <v>#DIV/0!</v>
      </c>
      <c r="L51" s="7">
        <f>(-PMT(Headline!$N$37/12,Headline!$I$37*12,'check share levels'!J51))</f>
        <v>0</v>
      </c>
      <c r="M51" s="7">
        <f>((Headline!$I$14-$G51)*Headline!$N$14)/12</f>
        <v>0</v>
      </c>
      <c r="N51" s="9">
        <f>Headline!$N$15/12</f>
        <v>0</v>
      </c>
      <c r="O51" s="9">
        <f t="shared" si="5"/>
        <v>0</v>
      </c>
      <c r="P51" s="136">
        <f>+IF(Headline!$I$28&gt;0,$O51/(((Headline!$I$34/12))),0)</f>
        <v>0</v>
      </c>
      <c r="R51" s="10"/>
    </row>
    <row r="52" spans="1:18" ht="12.75">
      <c r="A52" s="14" t="e">
        <f t="shared" si="1"/>
        <v>#DIV/0!</v>
      </c>
      <c r="B52" s="14">
        <f t="shared" si="0"/>
        <v>1</v>
      </c>
      <c r="C52" s="16">
        <f t="shared" si="2"/>
        <v>1</v>
      </c>
      <c r="D52" s="14" t="e">
        <f t="shared" si="3"/>
        <v>#DIV/0!</v>
      </c>
      <c r="E52" s="14" t="e">
        <f t="shared" si="4"/>
        <v>#DIV/0!</v>
      </c>
      <c r="F52" s="207">
        <v>0.75</v>
      </c>
      <c r="G52" s="7">
        <f>$F52*Headline!$I$14</f>
        <v>0</v>
      </c>
      <c r="H52" s="7">
        <f>Headline!$N$35</f>
        <v>0</v>
      </c>
      <c r="I52" s="12" t="str">
        <f>IF($H52&gt;=($G52*Headline!$N$34),"YES","NO")</f>
        <v>YES</v>
      </c>
      <c r="J52" s="7">
        <f t="shared" si="6"/>
        <v>0</v>
      </c>
      <c r="K52" s="8" t="e">
        <f>$J52/Headline!$I$28</f>
        <v>#DIV/0!</v>
      </c>
      <c r="L52" s="7">
        <f>(-PMT(Headline!$N$37/12,Headline!$I$37*12,'check share levels'!J52))</f>
        <v>0</v>
      </c>
      <c r="M52" s="7">
        <f>((Headline!$I$14-$G52)*Headline!$N$14)/12</f>
        <v>0</v>
      </c>
      <c r="N52" s="9">
        <f>Headline!$N$15/12</f>
        <v>0</v>
      </c>
      <c r="O52" s="9">
        <f t="shared" si="5"/>
        <v>0</v>
      </c>
      <c r="P52" s="136">
        <f>+IF(Headline!$I$28&gt;0,$O52/(((Headline!$I$34/12))),0)</f>
        <v>0</v>
      </c>
      <c r="R52" s="10"/>
    </row>
    <row r="54" spans="1:16" s="10" customFormat="1" ht="12.75">
      <c r="A54" s="10" t="e">
        <f>LOOKUP(1,A2:A52,F2:F52)</f>
        <v>#N/A</v>
      </c>
      <c r="B54" s="10">
        <f>LOOKUP(1,B2:B52,F2:F52)</f>
        <v>0.75</v>
      </c>
      <c r="C54" s="10">
        <f>LOOKUP(1,C2:C52,F2:F52)</f>
        <v>0.75</v>
      </c>
      <c r="D54" s="10">
        <f>IF(ISERROR(D55),0,D55)</f>
        <v>0</v>
      </c>
      <c r="E54" s="10">
        <f>IF(ISERROR(E55),0,E55)</f>
        <v>0</v>
      </c>
      <c r="F54" s="5"/>
      <c r="K54" s="5"/>
      <c r="L54" s="5"/>
      <c r="M54" s="5"/>
      <c r="P54" s="5"/>
    </row>
    <row r="55" spans="4:5" ht="12.75">
      <c r="D55" s="10" t="e">
        <f>LOOKUP(1,D2:D52,F2:F52)</f>
        <v>#N/A</v>
      </c>
      <c r="E55" s="10" t="e">
        <f>LOOKUP(1,E2:E52,F2:F52)</f>
        <v>#N/A</v>
      </c>
    </row>
    <row r="56" spans="1:5" ht="12.75">
      <c r="A56" s="14">
        <v>1</v>
      </c>
      <c r="B56" s="11" t="s">
        <v>39</v>
      </c>
      <c r="D56" s="10">
        <f>D54</f>
        <v>0</v>
      </c>
      <c r="E56" s="10">
        <f>E54</f>
        <v>0</v>
      </c>
    </row>
    <row r="57" spans="1:2" ht="12.75">
      <c r="A57" s="14">
        <v>2</v>
      </c>
      <c r="B57" s="11" t="s">
        <v>44</v>
      </c>
    </row>
    <row r="58" ht="12.75">
      <c r="F58" s="58"/>
    </row>
    <row r="60" spans="4:5" ht="12.75">
      <c r="D60" s="16"/>
      <c r="E60" s="16"/>
    </row>
  </sheetData>
  <sheetProtection selectLockedCells="1" selectUnlockedCells="1"/>
  <conditionalFormatting sqref="K2:K52">
    <cfRule type="cellIs" priority="1" dxfId="0" operator="greaterThan" stopIfTrue="1">
      <formula>$R$1</formula>
    </cfRule>
    <cfRule type="cellIs" priority="2" dxfId="2" operator="lessThanOrEqual" stopIfTrue="1">
      <formula>'check share levels'!#REF!</formula>
    </cfRule>
  </conditionalFormatting>
  <conditionalFormatting sqref="P2:P52">
    <cfRule type="cellIs" priority="3" dxfId="0" operator="greaterThan" stopIfTrue="1">
      <formula>0.45</formula>
    </cfRule>
    <cfRule type="cellIs" priority="4" dxfId="2" operator="lessThanOrEqual" stopIfTrue="1">
      <formula>0.45</formula>
    </cfRule>
  </conditionalFormatting>
  <conditionalFormatting sqref="I2:I52">
    <cfRule type="cellIs" priority="5" dxfId="1" operator="equal" stopIfTrue="1">
      <formula>"YES"</formula>
    </cfRule>
    <cfRule type="cellIs" priority="6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&amp;C&amp;1#&amp;"Calibri"&amp;12&amp;K0078D7OFFICIAL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ADVICE FINANCIAL PLANNING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Roper</dc:creator>
  <cp:keywords/>
  <dc:description/>
  <cp:lastModifiedBy>Graeme Hough</cp:lastModifiedBy>
  <cp:lastPrinted>2020-03-12T08:24:45Z</cp:lastPrinted>
  <dcterms:created xsi:type="dcterms:W3CDTF">2008-04-04T09:45:40Z</dcterms:created>
  <dcterms:modified xsi:type="dcterms:W3CDTF">2020-03-12T08:35:49Z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da72b5f5-c3e4-4c47-96b7-d85e329b0dca</vt:lpwstr>
  </property>
  <property fmtid="{D5CDD505-2E9C-101B-9397-08002B2CF9AE}" pid="3" name="HCAGPMS">
    <vt:lpwstr>OFFICIAL</vt:lpwstr>
  </property>
  <property fmtid="{D5CDD505-2E9C-101B-9397-08002B2CF9AE}" pid="4" name="MSIP_Label_727fb50e-81d5-40a5-b712-4eff31972ce4_Enabled">
    <vt:lpwstr>True</vt:lpwstr>
  </property>
  <property fmtid="{D5CDD505-2E9C-101B-9397-08002B2CF9AE}" pid="5" name="MSIP_Label_727fb50e-81d5-40a5-b712-4eff31972ce4_SiteId">
    <vt:lpwstr>faa8e269-0811-4538-82e7-4d29009219bf</vt:lpwstr>
  </property>
  <property fmtid="{D5CDD505-2E9C-101B-9397-08002B2CF9AE}" pid="6" name="MSIP_Label_727fb50e-81d5-40a5-b712-4eff31972ce4_Owner">
    <vt:lpwstr>Graeme.Hough@homesengland.gov.uk</vt:lpwstr>
  </property>
  <property fmtid="{D5CDD505-2E9C-101B-9397-08002B2CF9AE}" pid="7" name="MSIP_Label_727fb50e-81d5-40a5-b712-4eff31972ce4_SetDate">
    <vt:lpwstr>2019-11-20T09:32:36.7987079Z</vt:lpwstr>
  </property>
  <property fmtid="{D5CDD505-2E9C-101B-9397-08002B2CF9AE}" pid="8" name="MSIP_Label_727fb50e-81d5-40a5-b712-4eff31972ce4_Name">
    <vt:lpwstr>Official</vt:lpwstr>
  </property>
  <property fmtid="{D5CDD505-2E9C-101B-9397-08002B2CF9AE}" pid="9" name="MSIP_Label_727fb50e-81d5-40a5-b712-4eff31972ce4_Application">
    <vt:lpwstr>Microsoft Azure Information Protection</vt:lpwstr>
  </property>
  <property fmtid="{D5CDD505-2E9C-101B-9397-08002B2CF9AE}" pid="10" name="MSIP_Label_727fb50e-81d5-40a5-b712-4eff31972ce4_ActionId">
    <vt:lpwstr>8972cdb2-cac9-407d-8d65-409f708e4ad9</vt:lpwstr>
  </property>
  <property fmtid="{D5CDD505-2E9C-101B-9397-08002B2CF9AE}" pid="11" name="MSIP_Label_727fb50e-81d5-40a5-b712-4eff31972ce4_Extended_MSFT_Method">
    <vt:lpwstr>Automatic</vt:lpwstr>
  </property>
  <property fmtid="{D5CDD505-2E9C-101B-9397-08002B2CF9AE}" pid="12" name="Sensitivity">
    <vt:lpwstr>Official</vt:lpwstr>
  </property>
</Properties>
</file>