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80" windowHeight="9096" activeTab="0"/>
  </bookViews>
  <sheets>
    <sheet name="Model" sheetId="1" r:id="rId1"/>
    <sheet name="Salaries per staff category" sheetId="2" r:id="rId2"/>
    <sheet name="Total Costs_rands and dollars" sheetId="3" r:id="rId3"/>
    <sheet name="Total staff costs" sheetId="4" r:id="rId4"/>
  </sheets>
  <definedNames/>
  <calcPr fullCalcOnLoad="1"/>
</workbook>
</file>

<file path=xl/sharedStrings.xml><?xml version="1.0" encoding="utf-8"?>
<sst xmlns="http://schemas.openxmlformats.org/spreadsheetml/2006/main" count="500" uniqueCount="193">
  <si>
    <t>Type of</t>
  </si>
  <si>
    <t>professional</t>
  </si>
  <si>
    <t>General nurse</t>
  </si>
  <si>
    <t>Psych nurse</t>
  </si>
  <si>
    <t>OT</t>
  </si>
  <si>
    <t>OTA</t>
  </si>
  <si>
    <t>Social Workers</t>
  </si>
  <si>
    <t>Psychologists</t>
  </si>
  <si>
    <t>Psychiatrists</t>
  </si>
  <si>
    <t>Reg/MO</t>
  </si>
  <si>
    <t>Info manager</t>
  </si>
  <si>
    <t>Total</t>
  </si>
  <si>
    <t>Occupational Therapist</t>
  </si>
  <si>
    <t>Occupational Therapist Assistant</t>
  </si>
  <si>
    <t>Medical Officer</t>
  </si>
  <si>
    <t>Rural Allowance</t>
  </si>
  <si>
    <t>Scarce Skills</t>
  </si>
  <si>
    <t>Benefits</t>
  </si>
  <si>
    <t>TOTAL</t>
  </si>
  <si>
    <t>Outpatient</t>
  </si>
  <si>
    <t>services</t>
  </si>
  <si>
    <t>Day services</t>
  </si>
  <si>
    <t>Community</t>
  </si>
  <si>
    <t>residential</t>
  </si>
  <si>
    <t>Managerial</t>
  </si>
  <si>
    <t>Min cover</t>
  </si>
  <si>
    <t>Full cover</t>
  </si>
  <si>
    <t>Type of Professional</t>
  </si>
  <si>
    <t>Cash Component</t>
  </si>
  <si>
    <t>Rural % - WC</t>
  </si>
  <si>
    <t>Salaries per Staff Category - in Rands</t>
  </si>
  <si>
    <t>Numbers of staff per staffcategory - see Table 2 in paper</t>
  </si>
  <si>
    <t>PPP adjusted Rand Dollar Exchange rate</t>
  </si>
  <si>
    <t>Total costs of staff in US dollars (adjusted for purchasing power parity)</t>
  </si>
  <si>
    <t>Total Costs of staff by staff category</t>
  </si>
  <si>
    <t>Total Staff Costs in US dollars: Min and Full cover scenarios</t>
  </si>
  <si>
    <t>Outpatient services</t>
  </si>
  <si>
    <t>Community residential</t>
  </si>
  <si>
    <t xml:space="preserve">A model for estimating community mental health service needs and resources </t>
  </si>
  <si>
    <t>in South Africa</t>
  </si>
  <si>
    <t>Step 1</t>
  </si>
  <si>
    <t xml:space="preserve">Hypothetical population of an average </t>
  </si>
  <si>
    <t>district or region</t>
  </si>
  <si>
    <t>Age distributions</t>
  </si>
  <si>
    <t>%</t>
  </si>
  <si>
    <t>Under 15 years</t>
  </si>
  <si>
    <t>15 years and over</t>
  </si>
  <si>
    <t>Step 2</t>
  </si>
  <si>
    <t>Prevalence of mental disorders</t>
  </si>
  <si>
    <t>Disorder</t>
  </si>
  <si>
    <t xml:space="preserve">One year </t>
  </si>
  <si>
    <t>Comorbidity</t>
  </si>
  <si>
    <t>Total number</t>
  </si>
  <si>
    <t>Minimum</t>
  </si>
  <si>
    <t xml:space="preserve">Full </t>
  </si>
  <si>
    <t>prevalence</t>
  </si>
  <si>
    <t>adjustments</t>
  </si>
  <si>
    <t>expected</t>
  </si>
  <si>
    <t>coverage##</t>
  </si>
  <si>
    <t>coverage###</t>
  </si>
  <si>
    <t>(%)</t>
  </si>
  <si>
    <t>####</t>
  </si>
  <si>
    <t>in population</t>
  </si>
  <si>
    <t>Schizophrenia</t>
  </si>
  <si>
    <t>Bipolar affective disorder</t>
  </si>
  <si>
    <t>Mood disorder</t>
  </si>
  <si>
    <t>Panic disorder</t>
  </si>
  <si>
    <t>Agoraphobia without panic</t>
  </si>
  <si>
    <t>Simple phobia</t>
  </si>
  <si>
    <t>Social phobia</t>
  </si>
  <si>
    <t>Obsessive Compulsive Disorder</t>
  </si>
  <si>
    <t>Generalised anxiety disorder</t>
  </si>
  <si>
    <t>Posttraumatic stress disorder</t>
  </si>
  <si>
    <t>Substance-induced psychosis #</t>
  </si>
  <si>
    <t>x</t>
  </si>
  <si>
    <t>Brief psychotic disorder #</t>
  </si>
  <si>
    <t># Substance-induced psychosis and brief psychotic disorder are not included in the current study but could be included,</t>
  </si>
  <si>
    <t>along with other disorders, in future studies.</t>
  </si>
  <si>
    <t>## Minimum coverage is the minimal recommended service provision and represents a weighted percentage of</t>
  </si>
  <si>
    <t>schizophrenia (50%), bipolar affective disorder (50%), mood disorders (30%), panic disorder (20%),</t>
  </si>
  <si>
    <t>agoraphobia (20%), simple phobia (10%), social phobia (20%), OCD (20%), GAD (10%) and PTSD (30%)</t>
  </si>
  <si>
    <t>### Full coverage is service provision for 100% of people with mental disorders.</t>
  </si>
  <si>
    <t>#### See text of report for discussion of comorbidity adjustments.</t>
  </si>
  <si>
    <t>Step 3</t>
  </si>
  <si>
    <t>Mental health service needs</t>
  </si>
  <si>
    <t>1. Outpatient services</t>
  </si>
  <si>
    <t>Total cases per year</t>
  </si>
  <si>
    <t>Annual visits</t>
  </si>
  <si>
    <t>Total annual visits for pop</t>
  </si>
  <si>
    <t>Daily Patient Visits (DPV)</t>
  </si>
  <si>
    <t>per person#</t>
  </si>
  <si>
    <t>Coverage</t>
  </si>
  <si>
    <t>coverage</t>
  </si>
  <si>
    <r>
      <t xml:space="preserve"># </t>
    </r>
    <r>
      <rPr>
        <sz val="10"/>
        <rFont val="Arial"/>
        <family val="2"/>
      </rPr>
      <t>Minimum annual visits were based on monthly visits for chronic disorders (schizophrenia and bipolar affective disorder)</t>
    </r>
  </si>
  <si>
    <t xml:space="preserve">and visits every 2 weeks for 6 months for depressive disorders, every 2 weeks for 4 months for OCD and PTSD, </t>
  </si>
  <si>
    <t>every 2 weeks for 3 months for panic disorder and agoraphobia, and every 2 weeks for 2 months for the remaining disorders.</t>
  </si>
  <si>
    <t>2. Day services eg sheltered employment, home-based care, social clubs, support groups</t>
  </si>
  <si>
    <t>Percentage</t>
  </si>
  <si>
    <t>Number of</t>
  </si>
  <si>
    <t>Total day service placements</t>
  </si>
  <si>
    <t>requiring day</t>
  </si>
  <si>
    <t>annual</t>
  </si>
  <si>
    <t>programmes</t>
  </si>
  <si>
    <t xml:space="preserve"># Annual day service places = (expected number of annual cases*% requiring day care)/number of </t>
  </si>
  <si>
    <t>programmes during the year)</t>
  </si>
  <si>
    <t>3. Community residential services (group homes, halfway houses)</t>
  </si>
  <si>
    <t>ALOS#</t>
  </si>
  <si>
    <t>Rotation</t>
  </si>
  <si>
    <t>Total beds per year###</t>
  </si>
  <si>
    <t>requiring</t>
  </si>
  <si>
    <t>factor##</t>
  </si>
  <si>
    <t xml:space="preserve">Minimum </t>
  </si>
  <si>
    <t>Full coverage</t>
  </si>
  <si>
    <t>res care</t>
  </si>
  <si>
    <t># ALOS = Average length of stay in days</t>
  </si>
  <si>
    <t xml:space="preserve">## Rotation factor allows for a period when the bed is unoccupied between discharge and new admission.  The WHO model </t>
  </si>
  <si>
    <t>recommends rotation factors of 1.15 (acute) and 1.05 (med-long), implying bed occupancy rates of 85% and 95% respectively.</t>
  </si>
  <si>
    <t>### Beds = number of cases*(% needing residential care in a year/100)*(ALOS/365)*rotation factor</t>
  </si>
  <si>
    <t>Step 4</t>
  </si>
  <si>
    <t>Staff needs</t>
  </si>
  <si>
    <t>1. Staff for outpatient services</t>
  </si>
  <si>
    <t>Total annual</t>
  </si>
  <si>
    <t>DPV#</t>
  </si>
  <si>
    <t xml:space="preserve">Working days </t>
  </si>
  <si>
    <t xml:space="preserve">Staff working </t>
  </si>
  <si>
    <t>Consultations</t>
  </si>
  <si>
    <t>FTE ###</t>
  </si>
  <si>
    <t>FTE####</t>
  </si>
  <si>
    <t>Total FTE</t>
  </si>
  <si>
    <t>visits</t>
  </si>
  <si>
    <t>per year</t>
  </si>
  <si>
    <t xml:space="preserve">days per </t>
  </si>
  <si>
    <t>per day ##</t>
  </si>
  <si>
    <t xml:space="preserve">(Home visits </t>
  </si>
  <si>
    <t>year ##</t>
  </si>
  <si>
    <t>and outreach)</t>
  </si>
  <si>
    <t xml:space="preserve"># DPV = Daily Patient Visits = (annual visits/number of working days per year (264)) ie average number of patients who use </t>
  </si>
  <si>
    <t>primary care services in one day.</t>
  </si>
  <si>
    <t>## Figures drawn from South African workload studies at PHC (Rispel, Price &amp; Cabral, 1995):</t>
  </si>
  <si>
    <r>
      <t>Staff working days</t>
    </r>
    <r>
      <rPr>
        <sz val="10"/>
        <rFont val="Arial"/>
        <family val="0"/>
      </rPr>
      <t xml:space="preserve"> per year were calculated after holidays and sick leave.  </t>
    </r>
  </si>
  <si>
    <r>
      <t>Consultations per day</t>
    </r>
    <r>
      <rPr>
        <sz val="10"/>
        <rFont val="Arial"/>
        <family val="0"/>
      </rPr>
      <t xml:space="preserve"> were calculated using an assumption of 44.3% of staff time in direct patient contact, </t>
    </r>
  </si>
  <si>
    <t xml:space="preserve"> </t>
  </si>
  <si>
    <t xml:space="preserve">based on observations of work patterns.  The remainder of the time is spent on administration, preparation, </t>
  </si>
  <si>
    <t xml:space="preserve">meetings,continuing education, tea/lunch, and time without specific activity.  </t>
  </si>
  <si>
    <t>### FTE = Full-time equivalent staff = (DPV/Consultations per day)*(Working days per year/staff working days per year)</t>
  </si>
  <si>
    <t>#### A further 30% of staff were added to cover home visits and outreach.</t>
  </si>
  <si>
    <t>Outpatient FTE staff breakdown #</t>
  </si>
  <si>
    <t>Psychiatric</t>
  </si>
  <si>
    <t xml:space="preserve">General </t>
  </si>
  <si>
    <t>Psychol###</t>
  </si>
  <si>
    <t xml:space="preserve">nurses ## </t>
  </si>
  <si>
    <t>nurses</t>
  </si>
  <si>
    <t># Relative distribution according to WHO proposals (WHO, 1996), with additional emphasis on rehabilitation staff via home visits and outreach.</t>
  </si>
  <si>
    <t>## Distribution of nursing staff between psychiatric, general professional, enrolled and assistant nurses needs to be developed in future.</t>
  </si>
  <si>
    <t>### Figures for psychologists include intern psychologists</t>
  </si>
  <si>
    <t>2. Staff for day services#</t>
  </si>
  <si>
    <t>Placements</t>
  </si>
  <si>
    <t>Psychologist</t>
  </si>
  <si>
    <t>Social Worker</t>
  </si>
  <si>
    <t># Calculations of numbers per discipline are based on staff/patient ratios in day services of 1:100 (psychologists),</t>
  </si>
  <si>
    <t>1:60 (social workers), 1:60 (OT), 1:30 (OTA).</t>
  </si>
  <si>
    <t>## Supplementary non-professional staff will need to be recruited by the professional staff.</t>
  </si>
  <si>
    <t>3. Staff for community residential care (group homes, halfway houses)</t>
  </si>
  <si>
    <t>Beds</t>
  </si>
  <si>
    <t>Unit Head</t>
  </si>
  <si>
    <t>General</t>
  </si>
  <si>
    <t>(Soc Worker)</t>
  </si>
  <si>
    <t># Calculations of numbers per discipline are based on staff/patient ratios in residential services of 1:40 (social worker - unit head),</t>
  </si>
  <si>
    <t>1:80 (Reg/MO), 1:50 (social workers), 1:20 (general nurses).</t>
  </si>
  <si>
    <t>Managerial requirements for the region/district #</t>
  </si>
  <si>
    <t xml:space="preserve">Mental health </t>
  </si>
  <si>
    <t>Deputy MH</t>
  </si>
  <si>
    <t xml:space="preserve">Information </t>
  </si>
  <si>
    <t xml:space="preserve">Total </t>
  </si>
  <si>
    <t>coordinator</t>
  </si>
  <si>
    <t>coordinator##</t>
  </si>
  <si>
    <t>management</t>
  </si>
  <si>
    <t>officer ##</t>
  </si>
  <si>
    <t>staff</t>
  </si>
  <si>
    <t>#  Figures drawn directly from WHO model's managerial requirements, converted to the population for a region/district</t>
  </si>
  <si>
    <t>##  These functions can be fulfilled by any level of appropriately qualified mental health professional</t>
  </si>
  <si>
    <t>Step 5</t>
  </si>
  <si>
    <t>1. Staff/population</t>
  </si>
  <si>
    <t>Total staff required for the region/district</t>
  </si>
  <si>
    <t xml:space="preserve">Day </t>
  </si>
  <si>
    <t>Total (staff/population)</t>
  </si>
  <si>
    <t>2. Staff/patient</t>
  </si>
  <si>
    <t>Outpatient (staff/DPV)</t>
  </si>
  <si>
    <t>3. Outpatient facility/number of patients attending</t>
  </si>
  <si>
    <t>Daily patient visits (DPV)</t>
  </si>
  <si>
    <t>Annual placements</t>
  </si>
  <si>
    <t>4. Mental health trained staff/total staff per facility</t>
  </si>
  <si>
    <t>Total staffing needs per service category</t>
  </si>
</sst>
</file>

<file path=xl/styles.xml><?xml version="1.0" encoding="utf-8"?>
<styleSheet xmlns="http://schemas.openxmlformats.org/spreadsheetml/2006/main">
  <numFmts count="2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R-1C09]\ #,##0.00;[$R-1C09]\ \-#,##0.00"/>
    <numFmt numFmtId="177" formatCode="[$R-1C09]\ #,##0.00"/>
    <numFmt numFmtId="178" formatCode="&quot;$&quot;#,##0"/>
    <numFmt numFmtId="179" formatCode="_ [$R-1C09]\ * #,##0_ ;_ [$R-1C09]\ * \-#,##0_ ;_ [$R-1C09]\ * &quot;-&quot;_ ;_ @_ 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0.0%"/>
  </numFmts>
  <fonts count="1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omic Sans MS"/>
      <family val="4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9" fontId="3" fillId="0" borderId="0" xfId="0" applyNumberFormat="1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171" fontId="3" fillId="0" borderId="0" xfId="17" applyNumberFormat="1" applyFont="1" applyFill="1" applyAlignment="1">
      <alignment horizontal="center"/>
    </xf>
    <xf numFmtId="0" fontId="6" fillId="0" borderId="0" xfId="0" applyFont="1" applyFill="1" applyBorder="1" applyAlignment="1">
      <alignment/>
    </xf>
    <xf numFmtId="177" fontId="0" fillId="0" borderId="0" xfId="0" applyNumberFormat="1" applyFont="1" applyAlignment="1">
      <alignment/>
    </xf>
    <xf numFmtId="0" fontId="6" fillId="0" borderId="8" xfId="0" applyFont="1" applyBorder="1" applyAlignment="1">
      <alignment/>
    </xf>
    <xf numFmtId="0" fontId="6" fillId="0" borderId="5" xfId="0" applyFont="1" applyBorder="1" applyAlignment="1">
      <alignment/>
    </xf>
    <xf numFmtId="179" fontId="3" fillId="0" borderId="0" xfId="17" applyNumberFormat="1" applyFont="1" applyAlignment="1">
      <alignment horizontal="right"/>
    </xf>
    <xf numFmtId="179" fontId="3" fillId="0" borderId="3" xfId="17" applyNumberFormat="1" applyFont="1" applyBorder="1" applyAlignment="1">
      <alignment horizontal="right"/>
    </xf>
    <xf numFmtId="179" fontId="3" fillId="0" borderId="4" xfId="17" applyNumberFormat="1" applyFont="1" applyBorder="1" applyAlignment="1">
      <alignment horizontal="right"/>
    </xf>
    <xf numFmtId="179" fontId="3" fillId="0" borderId="5" xfId="17" applyNumberFormat="1" applyFont="1" applyBorder="1" applyAlignment="1">
      <alignment horizontal="right"/>
    </xf>
    <xf numFmtId="179" fontId="3" fillId="0" borderId="6" xfId="17" applyNumberFormat="1" applyFont="1" applyBorder="1" applyAlignment="1">
      <alignment horizontal="right"/>
    </xf>
    <xf numFmtId="179" fontId="3" fillId="0" borderId="7" xfId="17" applyNumberFormat="1" applyFont="1" applyBorder="1" applyAlignment="1">
      <alignment horizontal="right"/>
    </xf>
    <xf numFmtId="168" fontId="3" fillId="0" borderId="0" xfId="17" applyNumberFormat="1" applyFont="1" applyAlignment="1">
      <alignment horizontal="right"/>
    </xf>
    <xf numFmtId="168" fontId="3" fillId="0" borderId="3" xfId="17" applyNumberFormat="1" applyFont="1" applyBorder="1" applyAlignment="1">
      <alignment horizontal="right"/>
    </xf>
    <xf numFmtId="168" fontId="3" fillId="0" borderId="4" xfId="17" applyNumberFormat="1" applyFont="1" applyBorder="1" applyAlignment="1">
      <alignment horizontal="right"/>
    </xf>
    <xf numFmtId="168" fontId="3" fillId="0" borderId="5" xfId="17" applyNumberFormat="1" applyFont="1" applyBorder="1" applyAlignment="1">
      <alignment horizontal="right"/>
    </xf>
    <xf numFmtId="168" fontId="3" fillId="0" borderId="6" xfId="17" applyNumberFormat="1" applyFont="1" applyBorder="1" applyAlignment="1">
      <alignment horizontal="right"/>
    </xf>
    <xf numFmtId="168" fontId="3" fillId="0" borderId="7" xfId="17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181" fontId="1" fillId="0" borderId="0" xfId="15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181" fontId="1" fillId="0" borderId="6" xfId="15" applyNumberFormat="1" applyFont="1" applyBorder="1" applyAlignment="1">
      <alignment horizontal="right"/>
    </xf>
    <xf numFmtId="181" fontId="1" fillId="0" borderId="0" xfId="15" applyNumberFormat="1" applyFont="1" applyAlignment="1">
      <alignment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7" fillId="3" borderId="0" xfId="0" applyFont="1" applyFill="1" applyAlignment="1">
      <alignment/>
    </xf>
    <xf numFmtId="0" fontId="7" fillId="4" borderId="10" xfId="0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7" fillId="4" borderId="13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21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6" xfId="21" applyNumberFormat="1" applyFill="1" applyBorder="1" applyAlignment="1">
      <alignment horizontal="center"/>
    </xf>
    <xf numFmtId="0" fontId="0" fillId="0" borderId="0" xfId="21" applyNumberFormat="1" applyFill="1" applyBorder="1" applyAlignment="1">
      <alignment horizontal="center"/>
    </xf>
    <xf numFmtId="0" fontId="10" fillId="4" borderId="1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9" fontId="7" fillId="0" borderId="19" xfId="0" applyNumberFormat="1" applyFont="1" applyFill="1" applyBorder="1" applyAlignment="1">
      <alignment horizontal="center"/>
    </xf>
    <xf numFmtId="9" fontId="7" fillId="0" borderId="20" xfId="21" applyFon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182" fontId="0" fillId="0" borderId="19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83" fontId="0" fillId="0" borderId="0" xfId="21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 horizontal="center"/>
    </xf>
    <xf numFmtId="182" fontId="0" fillId="0" borderId="23" xfId="0" applyNumberFormat="1" applyFill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182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10" fillId="4" borderId="0" xfId="0" applyFont="1" applyFill="1" applyAlignment="1">
      <alignment/>
    </xf>
    <xf numFmtId="0" fontId="0" fillId="4" borderId="0" xfId="0" applyFill="1" applyAlignment="1">
      <alignment/>
    </xf>
    <xf numFmtId="0" fontId="7" fillId="0" borderId="0" xfId="0" applyFont="1" applyFill="1" applyAlignment="1">
      <alignment/>
    </xf>
    <xf numFmtId="0" fontId="0" fillId="4" borderId="25" xfId="0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6" xfId="0" applyFont="1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7" xfId="0" applyFill="1" applyBorder="1" applyAlignment="1">
      <alignment/>
    </xf>
    <xf numFmtId="0" fontId="7" fillId="0" borderId="4" xfId="0" applyFont="1" applyFill="1" applyBorder="1" applyAlignment="1">
      <alignment horizontal="center"/>
    </xf>
    <xf numFmtId="9" fontId="7" fillId="0" borderId="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1" fontId="0" fillId="0" borderId="26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9" fontId="7" fillId="0" borderId="0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Fill="1" applyAlignment="1">
      <alignment/>
    </xf>
    <xf numFmtId="0" fontId="7" fillId="0" borderId="22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center"/>
    </xf>
    <xf numFmtId="0" fontId="11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30" xfId="0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1" fontId="0" fillId="0" borderId="30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1" fontId="0" fillId="0" borderId="1" xfId="0" applyNumberFormat="1" applyFill="1" applyBorder="1" applyAlignment="1">
      <alignment horizontal="center"/>
    </xf>
    <xf numFmtId="1" fontId="0" fillId="0" borderId="31" xfId="0" applyNumberFormat="1" applyFill="1" applyBorder="1" applyAlignment="1">
      <alignment horizontal="center"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" fontId="12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182" fontId="0" fillId="0" borderId="0" xfId="0" applyNumberFormat="1" applyFont="1" applyFill="1" applyBorder="1" applyAlignment="1">
      <alignment horizontal="center"/>
    </xf>
    <xf numFmtId="182" fontId="0" fillId="0" borderId="14" xfId="0" applyNumberFormat="1" applyFill="1" applyBorder="1" applyAlignment="1">
      <alignment horizontal="center"/>
    </xf>
    <xf numFmtId="182" fontId="0" fillId="0" borderId="1" xfId="0" applyNumberFormat="1" applyFill="1" applyBorder="1" applyAlignment="1">
      <alignment horizontal="center"/>
    </xf>
    <xf numFmtId="182" fontId="0" fillId="0" borderId="1" xfId="0" applyNumberFormat="1" applyFont="1" applyFill="1" applyBorder="1" applyAlignment="1">
      <alignment horizontal="center"/>
    </xf>
    <xf numFmtId="182" fontId="0" fillId="0" borderId="16" xfId="0" applyNumberFormat="1" applyFill="1" applyBorder="1" applyAlignment="1">
      <alignment horizontal="center"/>
    </xf>
    <xf numFmtId="0" fontId="0" fillId="4" borderId="0" xfId="0" applyFill="1" applyAlignment="1">
      <alignment horizontal="right"/>
    </xf>
    <xf numFmtId="0" fontId="7" fillId="0" borderId="1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182" fontId="0" fillId="0" borderId="20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0" fontId="0" fillId="0" borderId="20" xfId="0" applyFill="1" applyBorder="1" applyAlignment="1">
      <alignment/>
    </xf>
    <xf numFmtId="182" fontId="0" fillId="0" borderId="20" xfId="0" applyNumberFormat="1" applyFill="1" applyBorder="1" applyAlignment="1">
      <alignment horizontal="center"/>
    </xf>
    <xf numFmtId="182" fontId="0" fillId="0" borderId="33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10" fillId="3" borderId="0" xfId="0" applyFont="1" applyFill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right"/>
    </xf>
    <xf numFmtId="0" fontId="7" fillId="0" borderId="35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7" fillId="0" borderId="35" xfId="0" applyFont="1" applyFill="1" applyBorder="1" applyAlignment="1">
      <alignment/>
    </xf>
    <xf numFmtId="0" fontId="0" fillId="0" borderId="35" xfId="0" applyFill="1" applyBorder="1" applyAlignment="1">
      <alignment/>
    </xf>
    <xf numFmtId="0" fontId="7" fillId="0" borderId="34" xfId="0" applyFont="1" applyFill="1" applyBorder="1" applyAlignment="1">
      <alignment horizontal="left"/>
    </xf>
    <xf numFmtId="0" fontId="7" fillId="0" borderId="36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37" xfId="0" applyFill="1" applyBorder="1" applyAlignment="1">
      <alignment/>
    </xf>
    <xf numFmtId="182" fontId="0" fillId="0" borderId="4" xfId="0" applyNumberFormat="1" applyFill="1" applyBorder="1" applyAlignment="1">
      <alignment horizontal="center"/>
    </xf>
    <xf numFmtId="182" fontId="0" fillId="0" borderId="37" xfId="0" applyNumberFormat="1" applyFill="1" applyBorder="1" applyAlignment="1">
      <alignment horizontal="center"/>
    </xf>
    <xf numFmtId="182" fontId="0" fillId="0" borderId="4" xfId="0" applyNumberFormat="1" applyFont="1" applyFill="1" applyBorder="1" applyAlignment="1">
      <alignment horizontal="center"/>
    </xf>
    <xf numFmtId="182" fontId="0" fillId="0" borderId="37" xfId="0" applyNumberFormat="1" applyFont="1" applyFill="1" applyBorder="1" applyAlignment="1">
      <alignment horizontal="center"/>
    </xf>
    <xf numFmtId="182" fontId="0" fillId="0" borderId="37" xfId="0" applyNumberFormat="1" applyFill="1" applyBorder="1" applyAlignment="1">
      <alignment/>
    </xf>
    <xf numFmtId="182" fontId="0" fillId="0" borderId="39" xfId="0" applyNumberFormat="1" applyFill="1" applyBorder="1" applyAlignment="1">
      <alignment horizontal="center"/>
    </xf>
    <xf numFmtId="182" fontId="0" fillId="0" borderId="26" xfId="0" applyNumberFormat="1" applyFill="1" applyBorder="1" applyAlignment="1">
      <alignment horizontal="center"/>
    </xf>
    <xf numFmtId="182" fontId="0" fillId="0" borderId="27" xfId="0" applyNumberForma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right"/>
    </xf>
    <xf numFmtId="0" fontId="7" fillId="0" borderId="40" xfId="0" applyFont="1" applyFill="1" applyBorder="1" applyAlignment="1">
      <alignment horizontal="left"/>
    </xf>
    <xf numFmtId="0" fontId="7" fillId="0" borderId="12" xfId="0" applyFont="1" applyFill="1" applyBorder="1" applyAlignment="1">
      <alignment/>
    </xf>
    <xf numFmtId="0" fontId="0" fillId="0" borderId="41" xfId="0" applyFill="1" applyBorder="1" applyAlignment="1">
      <alignment/>
    </xf>
    <xf numFmtId="2" fontId="0" fillId="0" borderId="4" xfId="0" applyNumberFormat="1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0" fillId="0" borderId="42" xfId="0" applyNumberForma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0" fontId="7" fillId="0" borderId="43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7" fillId="0" borderId="43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1" fontId="0" fillId="0" borderId="46" xfId="0" applyNumberFormat="1" applyFill="1" applyBorder="1" applyAlignment="1">
      <alignment horizontal="center"/>
    </xf>
    <xf numFmtId="1" fontId="0" fillId="0" borderId="47" xfId="0" applyNumberForma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9" fontId="0" fillId="0" borderId="15" xfId="21" applyFill="1" applyBorder="1" applyAlignment="1">
      <alignment horizontal="center"/>
    </xf>
    <xf numFmtId="9" fontId="0" fillId="0" borderId="31" xfId="2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3"/>
  <sheetViews>
    <sheetView tabSelected="1" workbookViewId="0" topLeftCell="A1">
      <selection activeCell="C154" sqref="C154"/>
    </sheetView>
  </sheetViews>
  <sheetFormatPr defaultColWidth="9.140625" defaultRowHeight="12.75"/>
  <cols>
    <col min="1" max="13" width="12.7109375" style="0" customWidth="1"/>
  </cols>
  <sheetData>
    <row r="1" spans="1:13" ht="17.25">
      <c r="A1" s="52" t="s">
        <v>38</v>
      </c>
      <c r="B1" s="53"/>
      <c r="C1" s="53"/>
      <c r="D1" s="53"/>
      <c r="E1" s="53"/>
      <c r="F1" s="53"/>
      <c r="G1" s="53"/>
      <c r="H1" s="53"/>
      <c r="I1" s="53"/>
      <c r="J1" s="54"/>
      <c r="K1" s="54"/>
      <c r="L1" s="54"/>
      <c r="M1" s="54"/>
    </row>
    <row r="2" spans="1:13" ht="17.25">
      <c r="A2" s="52" t="s">
        <v>39</v>
      </c>
      <c r="B2" s="53"/>
      <c r="C2" s="53"/>
      <c r="D2" s="53"/>
      <c r="E2" s="53"/>
      <c r="F2" s="53"/>
      <c r="G2" s="53"/>
      <c r="H2" s="53"/>
      <c r="I2" s="53"/>
      <c r="J2" s="54"/>
      <c r="K2" s="54"/>
      <c r="L2" s="54"/>
      <c r="M2" s="54"/>
    </row>
    <row r="3" spans="1:13" ht="13.5" thickBo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2.75">
      <c r="A4" s="55" t="s">
        <v>40</v>
      </c>
      <c r="B4" s="56" t="s">
        <v>41</v>
      </c>
      <c r="C4" s="57"/>
      <c r="D4" s="58"/>
      <c r="E4" s="54"/>
      <c r="F4" s="54"/>
      <c r="G4" s="54"/>
      <c r="H4" s="54"/>
      <c r="I4" s="54"/>
      <c r="J4" s="54"/>
      <c r="K4" s="54"/>
      <c r="L4" s="54"/>
      <c r="M4" s="54"/>
    </row>
    <row r="5" spans="1:13" ht="12.75">
      <c r="A5" s="54"/>
      <c r="B5" s="59" t="s">
        <v>42</v>
      </c>
      <c r="C5" s="60"/>
      <c r="D5" s="61"/>
      <c r="E5" s="54"/>
      <c r="F5" s="54"/>
      <c r="G5" s="54"/>
      <c r="H5" s="54"/>
      <c r="I5" s="54"/>
      <c r="J5" s="54"/>
      <c r="K5" s="54"/>
      <c r="L5" s="54"/>
      <c r="M5" s="54"/>
    </row>
    <row r="6" spans="1:13" ht="12.75">
      <c r="A6" s="54"/>
      <c r="B6" s="62"/>
      <c r="C6" s="63">
        <v>100000</v>
      </c>
      <c r="D6" s="64"/>
      <c r="E6" s="54"/>
      <c r="F6" s="54"/>
      <c r="G6" s="54"/>
      <c r="H6" s="54"/>
      <c r="I6" s="54"/>
      <c r="J6" s="54"/>
      <c r="K6" s="54"/>
      <c r="L6" s="54"/>
      <c r="M6" s="54"/>
    </row>
    <row r="7" spans="1:13" ht="13.5" thickBot="1">
      <c r="A7" s="54"/>
      <c r="B7" s="65"/>
      <c r="C7" s="66"/>
      <c r="D7" s="67"/>
      <c r="E7" s="54"/>
      <c r="F7" s="54"/>
      <c r="G7" s="54"/>
      <c r="H7" s="54"/>
      <c r="I7" s="54"/>
      <c r="J7" s="54"/>
      <c r="K7" s="54"/>
      <c r="L7" s="54"/>
      <c r="M7" s="54"/>
    </row>
    <row r="8" spans="1:13" ht="13.5" thickBo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3" ht="12.75">
      <c r="A9" s="54"/>
      <c r="B9" s="56" t="s">
        <v>43</v>
      </c>
      <c r="C9" s="57"/>
      <c r="D9" s="57"/>
      <c r="E9" s="58"/>
      <c r="F9" s="54"/>
      <c r="G9" s="54"/>
      <c r="H9" s="54"/>
      <c r="I9" s="54"/>
      <c r="J9" s="54"/>
      <c r="K9" s="54"/>
      <c r="L9" s="54"/>
      <c r="M9" s="54"/>
    </row>
    <row r="10" spans="1:13" ht="12.75">
      <c r="A10" s="54"/>
      <c r="B10" s="62"/>
      <c r="C10" s="68"/>
      <c r="D10" s="63" t="s">
        <v>44</v>
      </c>
      <c r="E10" s="69" t="s">
        <v>11</v>
      </c>
      <c r="F10" s="54"/>
      <c r="G10" s="54"/>
      <c r="H10" s="54"/>
      <c r="I10" s="54"/>
      <c r="J10" s="54"/>
      <c r="K10" s="54"/>
      <c r="L10" s="54"/>
      <c r="M10" s="54"/>
    </row>
    <row r="11" spans="1:13" ht="12.75">
      <c r="A11" s="54"/>
      <c r="B11" s="62" t="s">
        <v>45</v>
      </c>
      <c r="C11" s="68"/>
      <c r="D11" s="63">
        <v>32.05</v>
      </c>
      <c r="E11" s="70">
        <f>(D11/100)*C6</f>
        <v>32049.999999999996</v>
      </c>
      <c r="F11" s="54"/>
      <c r="G11" s="54"/>
      <c r="H11" s="54"/>
      <c r="I11" s="54"/>
      <c r="J11" s="54"/>
      <c r="K11" s="54"/>
      <c r="L11" s="54"/>
      <c r="M11" s="54"/>
    </row>
    <row r="12" spans="1:13" ht="13.5" thickBot="1">
      <c r="A12" s="54"/>
      <c r="B12" s="65" t="s">
        <v>46</v>
      </c>
      <c r="C12" s="66"/>
      <c r="D12" s="71">
        <v>67.95</v>
      </c>
      <c r="E12" s="72">
        <f>(D12/100)*C6</f>
        <v>67950</v>
      </c>
      <c r="F12" s="54"/>
      <c r="G12" s="54"/>
      <c r="H12" s="54"/>
      <c r="I12" s="54"/>
      <c r="J12" s="54"/>
      <c r="K12" s="54"/>
      <c r="L12" s="54"/>
      <c r="M12" s="54"/>
    </row>
    <row r="13" spans="1:13" ht="12.75">
      <c r="A13" s="54"/>
      <c r="B13" s="68"/>
      <c r="C13" s="68"/>
      <c r="D13" s="63"/>
      <c r="E13" s="73"/>
      <c r="F13" s="54"/>
      <c r="G13" s="54"/>
      <c r="H13" s="54"/>
      <c r="I13" s="54"/>
      <c r="J13" s="54"/>
      <c r="K13" s="54"/>
      <c r="L13" s="54"/>
      <c r="M13" s="54"/>
    </row>
    <row r="14" spans="1:13" ht="13.5" thickBo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</row>
    <row r="15" spans="1:13" ht="15">
      <c r="A15" s="55" t="s">
        <v>47</v>
      </c>
      <c r="B15" s="74" t="s">
        <v>48</v>
      </c>
      <c r="C15" s="57"/>
      <c r="D15" s="57"/>
      <c r="E15" s="57"/>
      <c r="F15" s="57"/>
      <c r="G15" s="57"/>
      <c r="H15" s="58"/>
      <c r="I15" s="68"/>
      <c r="J15" s="68"/>
      <c r="K15" s="54"/>
      <c r="L15" s="54"/>
      <c r="M15" s="54"/>
    </row>
    <row r="16" spans="1:13" ht="12.75">
      <c r="A16" s="54"/>
      <c r="B16" s="75" t="s">
        <v>49</v>
      </c>
      <c r="C16" s="68"/>
      <c r="D16" s="76" t="s">
        <v>50</v>
      </c>
      <c r="E16" s="77" t="s">
        <v>51</v>
      </c>
      <c r="F16" s="76" t="s">
        <v>52</v>
      </c>
      <c r="G16" s="76" t="s">
        <v>53</v>
      </c>
      <c r="H16" s="78" t="s">
        <v>54</v>
      </c>
      <c r="I16" s="79"/>
      <c r="J16" s="68"/>
      <c r="K16" s="54"/>
      <c r="L16" s="54"/>
      <c r="M16" s="54"/>
    </row>
    <row r="17" spans="1:13" ht="12.75">
      <c r="A17" s="54"/>
      <c r="B17" s="75"/>
      <c r="C17" s="68"/>
      <c r="D17" s="80" t="s">
        <v>55</v>
      </c>
      <c r="E17" s="81" t="s">
        <v>56</v>
      </c>
      <c r="F17" s="80" t="s">
        <v>57</v>
      </c>
      <c r="G17" s="80" t="s">
        <v>58</v>
      </c>
      <c r="H17" s="82" t="s">
        <v>59</v>
      </c>
      <c r="I17" s="79"/>
      <c r="J17" s="68"/>
      <c r="K17" s="54"/>
      <c r="L17" s="54"/>
      <c r="M17" s="54"/>
    </row>
    <row r="18" spans="1:13" ht="12.75">
      <c r="A18" s="54"/>
      <c r="B18" s="75"/>
      <c r="C18" s="68"/>
      <c r="D18" s="80" t="s">
        <v>60</v>
      </c>
      <c r="E18" s="83" t="s">
        <v>61</v>
      </c>
      <c r="F18" s="80" t="s">
        <v>62</v>
      </c>
      <c r="G18" s="84"/>
      <c r="H18" s="85"/>
      <c r="I18" s="79"/>
      <c r="J18" s="68"/>
      <c r="K18" s="54"/>
      <c r="L18" s="54"/>
      <c r="M18" s="54"/>
    </row>
    <row r="19" spans="1:13" ht="12.75">
      <c r="A19" s="54"/>
      <c r="B19" s="62" t="s">
        <v>63</v>
      </c>
      <c r="C19" s="68"/>
      <c r="D19" s="86">
        <v>1</v>
      </c>
      <c r="E19" s="87">
        <f>(D19*1)</f>
        <v>1</v>
      </c>
      <c r="F19" s="86">
        <f>(E19/100)*E12</f>
        <v>679.5</v>
      </c>
      <c r="G19" s="86">
        <f>(F19*50/100)</f>
        <v>339.75</v>
      </c>
      <c r="H19" s="88">
        <f aca="true" t="shared" si="0" ref="H19:H28">(F19*100/100)</f>
        <v>679.5</v>
      </c>
      <c r="I19" s="89"/>
      <c r="J19" s="68"/>
      <c r="K19" s="54"/>
      <c r="L19" s="54"/>
      <c r="M19" s="54"/>
    </row>
    <row r="20" spans="1:13" ht="12.75">
      <c r="A20" s="54"/>
      <c r="B20" s="62" t="s">
        <v>64</v>
      </c>
      <c r="C20" s="68"/>
      <c r="D20" s="90">
        <v>1</v>
      </c>
      <c r="E20" s="87">
        <f>(D20*1)</f>
        <v>1</v>
      </c>
      <c r="F20" s="86">
        <f>(E20/100)*E12</f>
        <v>679.5</v>
      </c>
      <c r="G20" s="86">
        <f>(F20*50/100)</f>
        <v>339.75</v>
      </c>
      <c r="H20" s="88">
        <f t="shared" si="0"/>
        <v>679.5</v>
      </c>
      <c r="I20" s="63"/>
      <c r="J20" s="68"/>
      <c r="K20" s="54"/>
      <c r="L20" s="54"/>
      <c r="M20" s="54"/>
    </row>
    <row r="21" spans="1:13" ht="12.75">
      <c r="A21" s="54"/>
      <c r="B21" s="62" t="s">
        <v>65</v>
      </c>
      <c r="C21" s="68"/>
      <c r="D21" s="90">
        <v>4.9</v>
      </c>
      <c r="E21" s="87">
        <f>((D21/(D28+D21+D22+D23+D24+D25+D26+D27)*(12.3)))</f>
        <v>4.185416666666667</v>
      </c>
      <c r="F21" s="86">
        <f>(E21/100)*E12</f>
        <v>2843.990625</v>
      </c>
      <c r="G21" s="86">
        <f>(F21*30/100)</f>
        <v>853.1971875</v>
      </c>
      <c r="H21" s="88">
        <f t="shared" si="0"/>
        <v>2843.990625</v>
      </c>
      <c r="I21" s="63"/>
      <c r="J21" s="68"/>
      <c r="K21" s="54"/>
      <c r="L21" s="54"/>
      <c r="M21" s="54"/>
    </row>
    <row r="22" spans="1:13" ht="12.75">
      <c r="A22" s="54"/>
      <c r="B22" s="62" t="s">
        <v>66</v>
      </c>
      <c r="C22" s="68"/>
      <c r="D22" s="90">
        <v>0.8</v>
      </c>
      <c r="E22" s="87">
        <f>((D22/(D21+D22+D23+D24+D25+D26+D27+D28)*(12.3)))</f>
        <v>0.6833333333333335</v>
      </c>
      <c r="F22" s="86">
        <f>(E22/100)*E12</f>
        <v>464.3250000000001</v>
      </c>
      <c r="G22" s="86">
        <f>(F22*20/100)</f>
        <v>92.86500000000002</v>
      </c>
      <c r="H22" s="88">
        <f t="shared" si="0"/>
        <v>464.32500000000005</v>
      </c>
      <c r="I22" s="63"/>
      <c r="J22" s="68"/>
      <c r="K22" s="54"/>
      <c r="L22" s="54"/>
      <c r="M22" s="54"/>
    </row>
    <row r="23" spans="1:13" ht="12.75">
      <c r="A23" s="54"/>
      <c r="B23" s="62" t="s">
        <v>67</v>
      </c>
      <c r="C23" s="68"/>
      <c r="D23" s="90">
        <v>4.8</v>
      </c>
      <c r="E23" s="87">
        <f>((D23/(D23+D24+D25+D26+D27+D28+D22+D21)*(12.3)))</f>
        <v>4.1</v>
      </c>
      <c r="F23" s="86">
        <f>(E23/100)*E12</f>
        <v>2785.95</v>
      </c>
      <c r="G23" s="86">
        <f>(F23*20/100)</f>
        <v>557.19</v>
      </c>
      <c r="H23" s="88">
        <f t="shared" si="0"/>
        <v>2785.95</v>
      </c>
      <c r="I23" s="63"/>
      <c r="J23" s="68"/>
      <c r="K23" s="54"/>
      <c r="L23" s="54"/>
      <c r="M23" s="54"/>
    </row>
    <row r="24" spans="1:13" ht="12.75">
      <c r="A24" s="54"/>
      <c r="B24" s="62" t="s">
        <v>68</v>
      </c>
      <c r="C24" s="68"/>
      <c r="D24" s="90">
        <v>0</v>
      </c>
      <c r="E24" s="87">
        <f>((D24/(D24+D25+D26+D27+D28+D21+D22+D23)*(12.3)))</f>
        <v>0</v>
      </c>
      <c r="F24" s="86">
        <f>(E24/100)*E12</f>
        <v>0</v>
      </c>
      <c r="G24" s="86">
        <f>(F24*10/100)</f>
        <v>0</v>
      </c>
      <c r="H24" s="88">
        <f t="shared" si="0"/>
        <v>0</v>
      </c>
      <c r="I24" s="63"/>
      <c r="J24" s="68"/>
      <c r="K24" s="54"/>
      <c r="L24" s="54"/>
      <c r="M24" s="54"/>
    </row>
    <row r="25" spans="1:13" ht="12.75">
      <c r="A25" s="54"/>
      <c r="B25" s="62" t="s">
        <v>69</v>
      </c>
      <c r="C25" s="68"/>
      <c r="D25" s="90">
        <v>1.9</v>
      </c>
      <c r="E25" s="87">
        <f>((D25/(D25+D26+D27+D28+D21+D22+D23+D24)*(12.3)))</f>
        <v>1.6229166666666666</v>
      </c>
      <c r="F25" s="86">
        <f>(E25/100)*E12</f>
        <v>1102.771875</v>
      </c>
      <c r="G25" s="86">
        <f>(F25*20/100)</f>
        <v>220.554375</v>
      </c>
      <c r="H25" s="88">
        <f t="shared" si="0"/>
        <v>1102.771875</v>
      </c>
      <c r="I25" s="63"/>
      <c r="J25" s="68"/>
      <c r="K25" s="54"/>
      <c r="L25" s="54"/>
      <c r="M25" s="54"/>
    </row>
    <row r="26" spans="1:13" ht="12.75">
      <c r="A26" s="54"/>
      <c r="B26" s="62" t="s">
        <v>70</v>
      </c>
      <c r="C26" s="68"/>
      <c r="D26" s="90">
        <v>0</v>
      </c>
      <c r="E26" s="87">
        <f>((D26/(D26+D27+D28+D21+D22+D23+D24+D25)*(12.3)))</f>
        <v>0</v>
      </c>
      <c r="F26" s="86">
        <f>(E26/100)*E12</f>
        <v>0</v>
      </c>
      <c r="G26" s="86">
        <f>(F26*20/100)</f>
        <v>0</v>
      </c>
      <c r="H26" s="88">
        <f t="shared" si="0"/>
        <v>0</v>
      </c>
      <c r="I26" s="63"/>
      <c r="J26" s="68"/>
      <c r="K26" s="54"/>
      <c r="L26" s="54"/>
      <c r="M26" s="54"/>
    </row>
    <row r="27" spans="1:13" ht="12.75">
      <c r="A27" s="54"/>
      <c r="B27" s="62" t="s">
        <v>71</v>
      </c>
      <c r="C27" s="68"/>
      <c r="D27" s="90">
        <v>1.4</v>
      </c>
      <c r="E27" s="87">
        <f>((D27/(D27+D28+D21+D22+D23+D24+D25+D26)*(12.3)))</f>
        <v>1.1958333333333333</v>
      </c>
      <c r="F27" s="86">
        <f>(E27/100)*E12</f>
        <v>812.56875</v>
      </c>
      <c r="G27" s="86">
        <f>(F27*20/100)</f>
        <v>162.51375</v>
      </c>
      <c r="H27" s="88">
        <f t="shared" si="0"/>
        <v>812.56875</v>
      </c>
      <c r="I27" s="63"/>
      <c r="J27" s="68"/>
      <c r="K27" s="54"/>
      <c r="L27" s="54"/>
      <c r="M27" s="54"/>
    </row>
    <row r="28" spans="1:13" ht="12.75">
      <c r="A28" s="54"/>
      <c r="B28" s="62" t="s">
        <v>72</v>
      </c>
      <c r="C28" s="68"/>
      <c r="D28" s="90">
        <v>0.6</v>
      </c>
      <c r="E28" s="87">
        <f>((D28/(D28+D21+D22+D23+D24+D25+D26+D27)*(12.3)))</f>
        <v>0.5125</v>
      </c>
      <c r="F28" s="86">
        <f>(E28/100)*E12</f>
        <v>348.24375</v>
      </c>
      <c r="G28" s="86">
        <f>(F28*30/100)</f>
        <v>104.473125</v>
      </c>
      <c r="H28" s="88">
        <f t="shared" si="0"/>
        <v>348.24375</v>
      </c>
      <c r="I28" s="68"/>
      <c r="J28" s="54"/>
      <c r="K28" s="54"/>
      <c r="L28" s="54"/>
      <c r="M28" s="54"/>
    </row>
    <row r="29" spans="1:13" ht="12.75">
      <c r="A29" s="54"/>
      <c r="B29" s="62" t="s">
        <v>73</v>
      </c>
      <c r="C29" s="68"/>
      <c r="D29" s="90" t="s">
        <v>74</v>
      </c>
      <c r="E29" s="90" t="s">
        <v>74</v>
      </c>
      <c r="F29" s="90" t="s">
        <v>74</v>
      </c>
      <c r="G29" s="90" t="s">
        <v>74</v>
      </c>
      <c r="H29" s="91" t="s">
        <v>74</v>
      </c>
      <c r="I29" s="68"/>
      <c r="J29" s="54"/>
      <c r="K29" s="54"/>
      <c r="L29" s="54"/>
      <c r="M29" s="54"/>
    </row>
    <row r="30" spans="1:13" ht="12.75">
      <c r="A30" s="54"/>
      <c r="B30" s="62" t="s">
        <v>75</v>
      </c>
      <c r="C30" s="68"/>
      <c r="D30" s="90" t="s">
        <v>74</v>
      </c>
      <c r="E30" s="90" t="s">
        <v>74</v>
      </c>
      <c r="F30" s="90" t="s">
        <v>74</v>
      </c>
      <c r="G30" s="90" t="s">
        <v>74</v>
      </c>
      <c r="H30" s="91" t="s">
        <v>74</v>
      </c>
      <c r="I30" s="68"/>
      <c r="J30" s="54"/>
      <c r="K30" s="54"/>
      <c r="L30" s="54"/>
      <c r="M30" s="54"/>
    </row>
    <row r="31" spans="1:13" ht="13.5" thickBot="1">
      <c r="A31" s="54"/>
      <c r="B31" s="92" t="s">
        <v>11</v>
      </c>
      <c r="C31" s="93"/>
      <c r="D31" s="94">
        <f>SUM(D19:D30)</f>
        <v>16.400000000000002</v>
      </c>
      <c r="E31" s="95">
        <f>SUM(E19:E30)</f>
        <v>14.299999999999999</v>
      </c>
      <c r="F31" s="96">
        <f>(E31/100)*E12</f>
        <v>9716.849999999999</v>
      </c>
      <c r="G31" s="96">
        <f>SUM(G19:G30)</f>
        <v>2670.2934375000004</v>
      </c>
      <c r="H31" s="97">
        <f>(F31*100/100)</f>
        <v>9716.849999999999</v>
      </c>
      <c r="I31" s="98">
        <f>(G31/F31)*100</f>
        <v>27.481060606060616</v>
      </c>
      <c r="J31" s="68"/>
      <c r="K31" s="68"/>
      <c r="L31" s="68"/>
      <c r="M31" s="54"/>
    </row>
    <row r="32" spans="1:13" ht="12.75">
      <c r="A32" s="54"/>
      <c r="B32" s="99" t="s">
        <v>76</v>
      </c>
      <c r="C32" s="68"/>
      <c r="D32" s="68"/>
      <c r="E32" s="63"/>
      <c r="F32" s="100"/>
      <c r="G32" s="63"/>
      <c r="H32" s="100"/>
      <c r="I32" s="54"/>
      <c r="J32" s="54"/>
      <c r="K32" s="54"/>
      <c r="L32" s="54"/>
      <c r="M32" s="54"/>
    </row>
    <row r="33" spans="1:13" ht="12.75">
      <c r="A33" s="54"/>
      <c r="B33" s="99" t="s">
        <v>77</v>
      </c>
      <c r="C33" s="68"/>
      <c r="D33" s="68"/>
      <c r="E33" s="63"/>
      <c r="F33" s="100"/>
      <c r="G33" s="63"/>
      <c r="H33" s="100"/>
      <c r="I33" s="54"/>
      <c r="J33" s="54"/>
      <c r="K33" s="54"/>
      <c r="L33" s="54"/>
      <c r="M33" s="54"/>
    </row>
    <row r="34" spans="1:13" ht="12.75">
      <c r="A34" s="54"/>
      <c r="B34" s="99" t="s">
        <v>78</v>
      </c>
      <c r="C34" s="68"/>
      <c r="D34" s="68"/>
      <c r="E34" s="63"/>
      <c r="F34" s="100"/>
      <c r="G34" s="63"/>
      <c r="H34" s="100"/>
      <c r="I34" s="54"/>
      <c r="J34" s="54"/>
      <c r="K34" s="54"/>
      <c r="L34" s="54"/>
      <c r="M34" s="54"/>
    </row>
    <row r="35" spans="1:13" ht="12.75">
      <c r="A35" s="54"/>
      <c r="B35" s="99" t="s">
        <v>79</v>
      </c>
      <c r="C35" s="68"/>
      <c r="D35" s="68"/>
      <c r="E35" s="63"/>
      <c r="F35" s="100"/>
      <c r="G35" s="63"/>
      <c r="H35" s="100"/>
      <c r="I35" s="54"/>
      <c r="J35" s="54"/>
      <c r="K35" s="54"/>
      <c r="L35" s="54"/>
      <c r="M35" s="54"/>
    </row>
    <row r="36" spans="1:13" ht="12.75">
      <c r="A36" s="54"/>
      <c r="B36" s="99" t="s">
        <v>80</v>
      </c>
      <c r="C36" s="68"/>
      <c r="D36" s="68"/>
      <c r="E36" s="63"/>
      <c r="F36" s="100"/>
      <c r="G36" s="63"/>
      <c r="H36" s="100"/>
      <c r="I36" s="54"/>
      <c r="J36" s="54"/>
      <c r="K36" s="54"/>
      <c r="L36" s="54"/>
      <c r="M36" s="54"/>
    </row>
    <row r="37" spans="1:13" ht="12.75">
      <c r="A37" s="54"/>
      <c r="B37" s="99" t="s">
        <v>81</v>
      </c>
      <c r="C37" s="68"/>
      <c r="D37" s="68"/>
      <c r="E37" s="63"/>
      <c r="F37" s="100"/>
      <c r="G37" s="63"/>
      <c r="H37" s="100"/>
      <c r="I37" s="54"/>
      <c r="J37" s="54"/>
      <c r="K37" s="54"/>
      <c r="L37" s="54"/>
      <c r="M37" s="54"/>
    </row>
    <row r="38" spans="1:13" ht="12.75">
      <c r="A38" s="54"/>
      <c r="B38" s="99" t="s">
        <v>82</v>
      </c>
      <c r="C38" s="68"/>
      <c r="D38" s="68"/>
      <c r="E38" s="63"/>
      <c r="F38" s="100"/>
      <c r="G38" s="63"/>
      <c r="H38" s="100"/>
      <c r="I38" s="54"/>
      <c r="J38" s="54"/>
      <c r="K38" s="54"/>
      <c r="L38" s="54"/>
      <c r="M38" s="54"/>
    </row>
    <row r="39" spans="1:13" ht="12.75">
      <c r="A39" s="54"/>
      <c r="B39" s="99"/>
      <c r="C39" s="68"/>
      <c r="D39" s="68"/>
      <c r="E39" s="63"/>
      <c r="F39" s="100"/>
      <c r="G39" s="63"/>
      <c r="H39" s="100"/>
      <c r="I39" s="54"/>
      <c r="J39" s="54"/>
      <c r="K39" s="54"/>
      <c r="L39" s="54"/>
      <c r="M39" s="54"/>
    </row>
    <row r="40" spans="1:13" ht="12.75">
      <c r="A40" s="54"/>
      <c r="B40" s="99"/>
      <c r="C40" s="68"/>
      <c r="D40" s="68"/>
      <c r="E40" s="63"/>
      <c r="F40" s="100"/>
      <c r="G40" s="63"/>
      <c r="H40" s="100"/>
      <c r="I40" s="54"/>
      <c r="J40" s="54"/>
      <c r="K40" s="54"/>
      <c r="L40" s="54"/>
      <c r="M40" s="54"/>
    </row>
    <row r="41" spans="1:13" ht="15.75" thickBot="1">
      <c r="A41" s="55" t="s">
        <v>83</v>
      </c>
      <c r="B41" s="101" t="s">
        <v>84</v>
      </c>
      <c r="C41" s="102"/>
      <c r="D41" s="102"/>
      <c r="E41" s="102"/>
      <c r="F41" s="102"/>
      <c r="G41" s="102"/>
      <c r="H41" s="102"/>
      <c r="I41" s="102"/>
      <c r="J41" s="102"/>
      <c r="K41" s="54"/>
      <c r="L41" s="54"/>
      <c r="M41" s="54"/>
    </row>
    <row r="42" spans="1:13" ht="15">
      <c r="A42" s="103"/>
      <c r="B42" s="74" t="s">
        <v>85</v>
      </c>
      <c r="C42" s="57"/>
      <c r="D42" s="57"/>
      <c r="E42" s="57"/>
      <c r="F42" s="104"/>
      <c r="G42" s="57"/>
      <c r="H42" s="57"/>
      <c r="I42" s="57"/>
      <c r="J42" s="58"/>
      <c r="K42" s="54"/>
      <c r="L42" s="54"/>
      <c r="M42" s="54"/>
    </row>
    <row r="43" spans="1:13" ht="13.5" thickBot="1">
      <c r="A43" s="103"/>
      <c r="B43" s="75" t="s">
        <v>49</v>
      </c>
      <c r="C43" s="99"/>
      <c r="D43" s="105" t="s">
        <v>86</v>
      </c>
      <c r="E43" s="106"/>
      <c r="F43" s="76" t="s">
        <v>87</v>
      </c>
      <c r="G43" s="107" t="s">
        <v>88</v>
      </c>
      <c r="H43" s="108"/>
      <c r="I43" s="107" t="s">
        <v>89</v>
      </c>
      <c r="J43" s="109"/>
      <c r="K43" s="54"/>
      <c r="L43" s="54"/>
      <c r="M43" s="54"/>
    </row>
    <row r="44" spans="1:13" ht="12.75">
      <c r="A44" s="103"/>
      <c r="B44" s="75"/>
      <c r="C44" s="99"/>
      <c r="D44" s="110" t="s">
        <v>53</v>
      </c>
      <c r="E44" s="79" t="s">
        <v>54</v>
      </c>
      <c r="F44" s="80" t="s">
        <v>90</v>
      </c>
      <c r="G44" s="111" t="s">
        <v>53</v>
      </c>
      <c r="H44" s="79" t="s">
        <v>54</v>
      </c>
      <c r="I44" s="111" t="s">
        <v>53</v>
      </c>
      <c r="J44" s="112" t="s">
        <v>54</v>
      </c>
      <c r="K44" s="54"/>
      <c r="L44" s="54"/>
      <c r="M44" s="54"/>
    </row>
    <row r="45" spans="1:13" ht="12.75">
      <c r="A45" s="103"/>
      <c r="B45" s="75"/>
      <c r="C45" s="99"/>
      <c r="D45" s="111" t="s">
        <v>91</v>
      </c>
      <c r="E45" s="79" t="s">
        <v>92</v>
      </c>
      <c r="F45" s="83"/>
      <c r="G45" s="110" t="s">
        <v>92</v>
      </c>
      <c r="H45" s="79" t="s">
        <v>92</v>
      </c>
      <c r="I45" s="110" t="s">
        <v>92</v>
      </c>
      <c r="J45" s="112" t="s">
        <v>92</v>
      </c>
      <c r="K45" s="54"/>
      <c r="L45" s="54"/>
      <c r="M45" s="54"/>
    </row>
    <row r="46" spans="1:13" ht="12.75">
      <c r="A46" s="103"/>
      <c r="B46" s="62" t="s">
        <v>63</v>
      </c>
      <c r="C46" s="68"/>
      <c r="D46" s="113">
        <f aca="true" t="shared" si="1" ref="D46:E55">(G19)</f>
        <v>339.75</v>
      </c>
      <c r="E46" s="114">
        <f t="shared" si="1"/>
        <v>679.5</v>
      </c>
      <c r="F46" s="115">
        <v>12</v>
      </c>
      <c r="G46" s="113">
        <f aca="true" t="shared" si="2" ref="G46:G55">(D46*F46)</f>
        <v>4077</v>
      </c>
      <c r="H46" s="114">
        <f aca="true" t="shared" si="3" ref="H46:H55">(E46*F46)</f>
        <v>8154</v>
      </c>
      <c r="I46" s="113">
        <f aca="true" t="shared" si="4" ref="I46:J55">(G46/264)</f>
        <v>15.443181818181818</v>
      </c>
      <c r="J46" s="116">
        <f t="shared" si="4"/>
        <v>30.886363636363637</v>
      </c>
      <c r="K46" s="54"/>
      <c r="L46" s="54"/>
      <c r="M46" s="54"/>
    </row>
    <row r="47" spans="1:13" ht="12.75">
      <c r="A47" s="103"/>
      <c r="B47" s="62" t="s">
        <v>64</v>
      </c>
      <c r="C47" s="68"/>
      <c r="D47" s="113">
        <f t="shared" si="1"/>
        <v>339.75</v>
      </c>
      <c r="E47" s="114">
        <f t="shared" si="1"/>
        <v>679.5</v>
      </c>
      <c r="F47" s="115">
        <v>12</v>
      </c>
      <c r="G47" s="113">
        <f t="shared" si="2"/>
        <v>4077</v>
      </c>
      <c r="H47" s="114">
        <f t="shared" si="3"/>
        <v>8154</v>
      </c>
      <c r="I47" s="113">
        <f t="shared" si="4"/>
        <v>15.443181818181818</v>
      </c>
      <c r="J47" s="116">
        <f t="shared" si="4"/>
        <v>30.886363636363637</v>
      </c>
      <c r="K47" s="54"/>
      <c r="L47" s="54"/>
      <c r="M47" s="54"/>
    </row>
    <row r="48" spans="1:13" ht="12.75">
      <c r="A48" s="103"/>
      <c r="B48" s="62" t="s">
        <v>65</v>
      </c>
      <c r="C48" s="68"/>
      <c r="D48" s="113">
        <f t="shared" si="1"/>
        <v>853.1971875</v>
      </c>
      <c r="E48" s="114">
        <f t="shared" si="1"/>
        <v>2843.990625</v>
      </c>
      <c r="F48" s="115">
        <v>12</v>
      </c>
      <c r="G48" s="113">
        <f t="shared" si="2"/>
        <v>10238.366250000001</v>
      </c>
      <c r="H48" s="114">
        <f t="shared" si="3"/>
        <v>34127.8875</v>
      </c>
      <c r="I48" s="113">
        <f t="shared" si="4"/>
        <v>38.781690340909094</v>
      </c>
      <c r="J48" s="116">
        <f t="shared" si="4"/>
        <v>129.27230113636364</v>
      </c>
      <c r="K48" s="54"/>
      <c r="L48" s="54"/>
      <c r="M48" s="54"/>
    </row>
    <row r="49" spans="1:13" ht="12.75">
      <c r="A49" s="103"/>
      <c r="B49" s="62" t="s">
        <v>66</v>
      </c>
      <c r="C49" s="68"/>
      <c r="D49" s="113">
        <f t="shared" si="1"/>
        <v>92.86500000000002</v>
      </c>
      <c r="E49" s="114">
        <f t="shared" si="1"/>
        <v>464.32500000000005</v>
      </c>
      <c r="F49" s="115">
        <v>6</v>
      </c>
      <c r="G49" s="113">
        <f t="shared" si="2"/>
        <v>557.1900000000002</v>
      </c>
      <c r="H49" s="114">
        <f t="shared" si="3"/>
        <v>2785.9500000000003</v>
      </c>
      <c r="I49" s="113">
        <f t="shared" si="4"/>
        <v>2.1105681818181825</v>
      </c>
      <c r="J49" s="116">
        <f t="shared" si="4"/>
        <v>10.55284090909091</v>
      </c>
      <c r="K49" s="54"/>
      <c r="L49" s="54"/>
      <c r="M49" s="54"/>
    </row>
    <row r="50" spans="1:13" ht="12.75">
      <c r="A50" s="103"/>
      <c r="B50" s="62" t="s">
        <v>67</v>
      </c>
      <c r="C50" s="68"/>
      <c r="D50" s="113">
        <f t="shared" si="1"/>
        <v>557.19</v>
      </c>
      <c r="E50" s="114">
        <f t="shared" si="1"/>
        <v>2785.95</v>
      </c>
      <c r="F50" s="115">
        <v>6</v>
      </c>
      <c r="G50" s="113">
        <f t="shared" si="2"/>
        <v>3343.1400000000003</v>
      </c>
      <c r="H50" s="114">
        <f t="shared" si="3"/>
        <v>16715.699999999997</v>
      </c>
      <c r="I50" s="113">
        <f t="shared" si="4"/>
        <v>12.663409090909092</v>
      </c>
      <c r="J50" s="116">
        <f t="shared" si="4"/>
        <v>63.31704545454544</v>
      </c>
      <c r="K50" s="54"/>
      <c r="L50" s="54"/>
      <c r="M50" s="54"/>
    </row>
    <row r="51" spans="1:13" ht="12.75">
      <c r="A51" s="103"/>
      <c r="B51" s="62" t="s">
        <v>68</v>
      </c>
      <c r="C51" s="68"/>
      <c r="D51" s="113">
        <f t="shared" si="1"/>
        <v>0</v>
      </c>
      <c r="E51" s="114">
        <f t="shared" si="1"/>
        <v>0</v>
      </c>
      <c r="F51" s="115">
        <v>4</v>
      </c>
      <c r="G51" s="113">
        <f t="shared" si="2"/>
        <v>0</v>
      </c>
      <c r="H51" s="114">
        <f t="shared" si="3"/>
        <v>0</v>
      </c>
      <c r="I51" s="113">
        <f t="shared" si="4"/>
        <v>0</v>
      </c>
      <c r="J51" s="116">
        <f t="shared" si="4"/>
        <v>0</v>
      </c>
      <c r="K51" s="54"/>
      <c r="L51" s="54"/>
      <c r="M51" s="54"/>
    </row>
    <row r="52" spans="1:13" ht="12.75">
      <c r="A52" s="103"/>
      <c r="B52" s="62" t="s">
        <v>69</v>
      </c>
      <c r="C52" s="68"/>
      <c r="D52" s="113">
        <f t="shared" si="1"/>
        <v>220.554375</v>
      </c>
      <c r="E52" s="114">
        <f t="shared" si="1"/>
        <v>1102.771875</v>
      </c>
      <c r="F52" s="115">
        <v>4</v>
      </c>
      <c r="G52" s="113">
        <f t="shared" si="2"/>
        <v>882.2175</v>
      </c>
      <c r="H52" s="114">
        <f t="shared" si="3"/>
        <v>4411.0875</v>
      </c>
      <c r="I52" s="113">
        <f t="shared" si="4"/>
        <v>3.3417329545454546</v>
      </c>
      <c r="J52" s="116">
        <f t="shared" si="4"/>
        <v>16.70866477272727</v>
      </c>
      <c r="K52" s="54"/>
      <c r="L52" s="54"/>
      <c r="M52" s="54"/>
    </row>
    <row r="53" spans="1:13" ht="12.75">
      <c r="A53" s="103"/>
      <c r="B53" s="62" t="s">
        <v>70</v>
      </c>
      <c r="C53" s="68"/>
      <c r="D53" s="113">
        <f t="shared" si="1"/>
        <v>0</v>
      </c>
      <c r="E53" s="114">
        <f t="shared" si="1"/>
        <v>0</v>
      </c>
      <c r="F53" s="115">
        <v>8</v>
      </c>
      <c r="G53" s="113">
        <f t="shared" si="2"/>
        <v>0</v>
      </c>
      <c r="H53" s="114">
        <f t="shared" si="3"/>
        <v>0</v>
      </c>
      <c r="I53" s="113">
        <f t="shared" si="4"/>
        <v>0</v>
      </c>
      <c r="J53" s="116">
        <f t="shared" si="4"/>
        <v>0</v>
      </c>
      <c r="K53" s="54"/>
      <c r="L53" s="54"/>
      <c r="M53" s="54"/>
    </row>
    <row r="54" spans="1:13" ht="12.75">
      <c r="A54" s="103"/>
      <c r="B54" s="62" t="s">
        <v>71</v>
      </c>
      <c r="C54" s="68"/>
      <c r="D54" s="113">
        <f t="shared" si="1"/>
        <v>162.51375</v>
      </c>
      <c r="E54" s="114">
        <f t="shared" si="1"/>
        <v>812.56875</v>
      </c>
      <c r="F54" s="115">
        <v>4</v>
      </c>
      <c r="G54" s="113">
        <f t="shared" si="2"/>
        <v>650.055</v>
      </c>
      <c r="H54" s="114">
        <f t="shared" si="3"/>
        <v>3250.275</v>
      </c>
      <c r="I54" s="113">
        <f t="shared" si="4"/>
        <v>2.462329545454545</v>
      </c>
      <c r="J54" s="116">
        <f t="shared" si="4"/>
        <v>12.311647727272728</v>
      </c>
      <c r="K54" s="54"/>
      <c r="L54" s="54"/>
      <c r="M54" s="54"/>
    </row>
    <row r="55" spans="1:13" ht="12.75">
      <c r="A55" s="103"/>
      <c r="B55" s="62" t="s">
        <v>72</v>
      </c>
      <c r="C55" s="68"/>
      <c r="D55" s="113">
        <f t="shared" si="1"/>
        <v>104.473125</v>
      </c>
      <c r="E55" s="114">
        <f t="shared" si="1"/>
        <v>348.24375</v>
      </c>
      <c r="F55" s="117">
        <v>8</v>
      </c>
      <c r="G55" s="113">
        <f t="shared" si="2"/>
        <v>835.785</v>
      </c>
      <c r="H55" s="114">
        <f t="shared" si="3"/>
        <v>2785.95</v>
      </c>
      <c r="I55" s="113">
        <f t="shared" si="4"/>
        <v>3.1658522727272724</v>
      </c>
      <c r="J55" s="116">
        <f t="shared" si="4"/>
        <v>10.552840909090909</v>
      </c>
      <c r="K55" s="54"/>
      <c r="L55" s="54"/>
      <c r="M55" s="54"/>
    </row>
    <row r="56" spans="1:13" ht="13.5" thickBot="1">
      <c r="A56" s="103"/>
      <c r="B56" s="92" t="s">
        <v>11</v>
      </c>
      <c r="C56" s="118"/>
      <c r="D56" s="119">
        <f>SUM(D46:D55)</f>
        <v>2670.2934375000004</v>
      </c>
      <c r="E56" s="120">
        <f>SUM(E46:E55)</f>
        <v>9716.85</v>
      </c>
      <c r="F56" s="121"/>
      <c r="G56" s="119">
        <f>SUM(G46:G55)</f>
        <v>24660.753749999996</v>
      </c>
      <c r="H56" s="120">
        <f>SUM(H46:H55)</f>
        <v>80384.84999999998</v>
      </c>
      <c r="I56" s="119">
        <f>SUM(I46:I55)</f>
        <v>93.41194602272729</v>
      </c>
      <c r="J56" s="122">
        <f>SUM(J46:J55)</f>
        <v>304.48806818181816</v>
      </c>
      <c r="K56" s="54"/>
      <c r="L56" s="54"/>
      <c r="M56" s="54"/>
    </row>
    <row r="57" spans="1:13" ht="12.75">
      <c r="A57" s="103"/>
      <c r="B57" s="123" t="s">
        <v>93</v>
      </c>
      <c r="C57" s="99"/>
      <c r="D57" s="114"/>
      <c r="E57" s="114"/>
      <c r="F57" s="124"/>
      <c r="G57" s="114"/>
      <c r="H57" s="114"/>
      <c r="I57" s="114"/>
      <c r="J57" s="114"/>
      <c r="K57" s="54"/>
      <c r="L57" s="54"/>
      <c r="M57" s="54"/>
    </row>
    <row r="58" spans="1:13" ht="12.75">
      <c r="A58" s="103"/>
      <c r="B58" s="68" t="s">
        <v>94</v>
      </c>
      <c r="C58" s="99"/>
      <c r="D58" s="114"/>
      <c r="E58" s="114"/>
      <c r="F58" s="124"/>
      <c r="G58" s="114"/>
      <c r="H58" s="114"/>
      <c r="I58" s="114"/>
      <c r="J58" s="114"/>
      <c r="K58" s="54"/>
      <c r="L58" s="54"/>
      <c r="M58" s="54"/>
    </row>
    <row r="59" spans="1:13" ht="12.75">
      <c r="A59" s="103"/>
      <c r="B59" s="125" t="s">
        <v>95</v>
      </c>
      <c r="C59" s="125"/>
      <c r="D59" s="125"/>
      <c r="E59" s="125"/>
      <c r="F59" s="125"/>
      <c r="G59" s="125"/>
      <c r="H59" s="125"/>
      <c r="I59" s="54"/>
      <c r="J59" s="54"/>
      <c r="K59" s="54"/>
      <c r="L59" s="54"/>
      <c r="M59" s="54"/>
    </row>
    <row r="60" spans="1:13" ht="13.5" thickBot="1">
      <c r="A60" s="103"/>
      <c r="B60" s="103"/>
      <c r="C60" s="125"/>
      <c r="D60" s="125"/>
      <c r="E60" s="125"/>
      <c r="F60" s="125"/>
      <c r="G60" s="125"/>
      <c r="H60" s="125"/>
      <c r="I60" s="54"/>
      <c r="J60" s="54"/>
      <c r="K60" s="54"/>
      <c r="L60" s="54"/>
      <c r="M60" s="54"/>
    </row>
    <row r="61" spans="1:13" ht="15">
      <c r="A61" s="103"/>
      <c r="B61" s="74" t="s">
        <v>96</v>
      </c>
      <c r="C61" s="57"/>
      <c r="D61" s="57"/>
      <c r="E61" s="57"/>
      <c r="F61" s="57"/>
      <c r="G61" s="57"/>
      <c r="H61" s="57"/>
      <c r="I61" s="58"/>
      <c r="J61" s="54"/>
      <c r="K61" s="54"/>
      <c r="L61" s="54"/>
      <c r="M61" s="54"/>
    </row>
    <row r="62" spans="1:13" ht="13.5" thickBot="1">
      <c r="A62" s="103"/>
      <c r="B62" s="75" t="s">
        <v>49</v>
      </c>
      <c r="C62" s="99"/>
      <c r="D62" s="106" t="s">
        <v>86</v>
      </c>
      <c r="E62" s="106"/>
      <c r="F62" s="79" t="s">
        <v>97</v>
      </c>
      <c r="G62" s="79" t="s">
        <v>98</v>
      </c>
      <c r="H62" s="106" t="s">
        <v>99</v>
      </c>
      <c r="I62" s="126"/>
      <c r="J62" s="125"/>
      <c r="K62" s="54"/>
      <c r="L62" s="54"/>
      <c r="M62" s="54"/>
    </row>
    <row r="63" spans="1:13" ht="12.75">
      <c r="A63" s="103"/>
      <c r="B63" s="75"/>
      <c r="C63" s="99"/>
      <c r="D63" s="79" t="s">
        <v>53</v>
      </c>
      <c r="E63" s="79" t="s">
        <v>54</v>
      </c>
      <c r="F63" s="79" t="s">
        <v>100</v>
      </c>
      <c r="G63" s="79" t="s">
        <v>101</v>
      </c>
      <c r="H63" s="79" t="s">
        <v>53</v>
      </c>
      <c r="I63" s="112" t="s">
        <v>54</v>
      </c>
      <c r="J63" s="125"/>
      <c r="K63" s="54"/>
      <c r="L63" s="54"/>
      <c r="M63" s="54"/>
    </row>
    <row r="64" spans="1:13" ht="12.75">
      <c r="A64" s="103"/>
      <c r="B64" s="75"/>
      <c r="C64" s="99"/>
      <c r="D64" s="127" t="s">
        <v>91</v>
      </c>
      <c r="E64" s="79" t="s">
        <v>92</v>
      </c>
      <c r="F64" s="79" t="s">
        <v>20</v>
      </c>
      <c r="G64" s="79" t="s">
        <v>102</v>
      </c>
      <c r="H64" s="127" t="s">
        <v>91</v>
      </c>
      <c r="I64" s="112" t="s">
        <v>92</v>
      </c>
      <c r="J64" s="125"/>
      <c r="K64" s="54"/>
      <c r="L64" s="54"/>
      <c r="M64" s="54"/>
    </row>
    <row r="65" spans="1:13" ht="12.75">
      <c r="A65" s="103"/>
      <c r="B65" s="62" t="s">
        <v>63</v>
      </c>
      <c r="C65" s="68"/>
      <c r="D65" s="114">
        <f aca="true" t="shared" si="5" ref="D65:E74">(G19)</f>
        <v>339.75</v>
      </c>
      <c r="E65" s="114">
        <f t="shared" si="5"/>
        <v>679.5</v>
      </c>
      <c r="F65" s="124">
        <v>20</v>
      </c>
      <c r="G65" s="63">
        <v>1</v>
      </c>
      <c r="H65" s="114">
        <f aca="true" t="shared" si="6" ref="H65:H74">((D65*F65/100)/G65)</f>
        <v>67.95</v>
      </c>
      <c r="I65" s="116">
        <f aca="true" t="shared" si="7" ref="I65:I74">((E65*F65/100)/G65)</f>
        <v>135.9</v>
      </c>
      <c r="J65" s="125"/>
      <c r="K65" s="54"/>
      <c r="L65" s="54"/>
      <c r="M65" s="54"/>
    </row>
    <row r="66" spans="1:13" ht="12.75">
      <c r="A66" s="103"/>
      <c r="B66" s="62" t="s">
        <v>64</v>
      </c>
      <c r="C66" s="68"/>
      <c r="D66" s="114">
        <f t="shared" si="5"/>
        <v>339.75</v>
      </c>
      <c r="E66" s="114">
        <f t="shared" si="5"/>
        <v>679.5</v>
      </c>
      <c r="F66" s="124">
        <v>15</v>
      </c>
      <c r="G66" s="63">
        <v>1</v>
      </c>
      <c r="H66" s="114">
        <f t="shared" si="6"/>
        <v>50.9625</v>
      </c>
      <c r="I66" s="116">
        <f t="shared" si="7"/>
        <v>101.925</v>
      </c>
      <c r="J66" s="125"/>
      <c r="K66" s="54"/>
      <c r="L66" s="54"/>
      <c r="M66" s="54"/>
    </row>
    <row r="67" spans="1:13" ht="12.75">
      <c r="A67" s="103"/>
      <c r="B67" s="62" t="s">
        <v>65</v>
      </c>
      <c r="C67" s="68"/>
      <c r="D67" s="114">
        <f t="shared" si="5"/>
        <v>853.1971875</v>
      </c>
      <c r="E67" s="114">
        <f t="shared" si="5"/>
        <v>2843.990625</v>
      </c>
      <c r="F67" s="124">
        <v>5</v>
      </c>
      <c r="G67" s="63">
        <v>1</v>
      </c>
      <c r="H67" s="114">
        <f t="shared" si="6"/>
        <v>42.659859375</v>
      </c>
      <c r="I67" s="116">
        <f t="shared" si="7"/>
        <v>142.19953125</v>
      </c>
      <c r="J67" s="125"/>
      <c r="K67" s="54"/>
      <c r="L67" s="54"/>
      <c r="M67" s="54"/>
    </row>
    <row r="68" spans="1:13" ht="12.75">
      <c r="A68" s="103"/>
      <c r="B68" s="62" t="s">
        <v>66</v>
      </c>
      <c r="C68" s="68"/>
      <c r="D68" s="114">
        <f t="shared" si="5"/>
        <v>92.86500000000002</v>
      </c>
      <c r="E68" s="114">
        <f t="shared" si="5"/>
        <v>464.32500000000005</v>
      </c>
      <c r="F68" s="124">
        <v>5</v>
      </c>
      <c r="G68" s="63">
        <v>1</v>
      </c>
      <c r="H68" s="114">
        <f t="shared" si="6"/>
        <v>4.643250000000001</v>
      </c>
      <c r="I68" s="116">
        <f t="shared" si="7"/>
        <v>23.21625</v>
      </c>
      <c r="J68" s="125"/>
      <c r="K68" s="54"/>
      <c r="L68" s="54"/>
      <c r="M68" s="54"/>
    </row>
    <row r="69" spans="1:13" ht="12.75">
      <c r="A69" s="103"/>
      <c r="B69" s="62" t="s">
        <v>67</v>
      </c>
      <c r="C69" s="68"/>
      <c r="D69" s="114">
        <f t="shared" si="5"/>
        <v>557.19</v>
      </c>
      <c r="E69" s="114">
        <f t="shared" si="5"/>
        <v>2785.95</v>
      </c>
      <c r="F69" s="124">
        <v>5</v>
      </c>
      <c r="G69" s="63">
        <v>1</v>
      </c>
      <c r="H69" s="114">
        <f t="shared" si="6"/>
        <v>27.859500000000004</v>
      </c>
      <c r="I69" s="116">
        <f t="shared" si="7"/>
        <v>139.2975</v>
      </c>
      <c r="J69" s="125"/>
      <c r="K69" s="54"/>
      <c r="L69" s="54"/>
      <c r="M69" s="54"/>
    </row>
    <row r="70" spans="1:13" ht="12.75">
      <c r="A70" s="103"/>
      <c r="B70" s="62" t="s">
        <v>68</v>
      </c>
      <c r="C70" s="68"/>
      <c r="D70" s="114">
        <f t="shared" si="5"/>
        <v>0</v>
      </c>
      <c r="E70" s="114">
        <f t="shared" si="5"/>
        <v>0</v>
      </c>
      <c r="F70" s="124">
        <v>0</v>
      </c>
      <c r="G70" s="63">
        <v>1</v>
      </c>
      <c r="H70" s="114">
        <f t="shared" si="6"/>
        <v>0</v>
      </c>
      <c r="I70" s="116">
        <f t="shared" si="7"/>
        <v>0</v>
      </c>
      <c r="J70" s="125"/>
      <c r="K70" s="54"/>
      <c r="L70" s="54"/>
      <c r="M70" s="54"/>
    </row>
    <row r="71" spans="1:13" ht="12.75">
      <c r="A71" s="103"/>
      <c r="B71" s="62" t="s">
        <v>69</v>
      </c>
      <c r="C71" s="68"/>
      <c r="D71" s="114">
        <f t="shared" si="5"/>
        <v>220.554375</v>
      </c>
      <c r="E71" s="114">
        <f t="shared" si="5"/>
        <v>1102.771875</v>
      </c>
      <c r="F71" s="124">
        <v>0</v>
      </c>
      <c r="G71" s="63">
        <v>1</v>
      </c>
      <c r="H71" s="114">
        <f t="shared" si="6"/>
        <v>0</v>
      </c>
      <c r="I71" s="116">
        <f t="shared" si="7"/>
        <v>0</v>
      </c>
      <c r="J71" s="125"/>
      <c r="K71" s="54"/>
      <c r="L71" s="54"/>
      <c r="M71" s="54"/>
    </row>
    <row r="72" spans="1:13" ht="12.75">
      <c r="A72" s="103"/>
      <c r="B72" s="62" t="s">
        <v>70</v>
      </c>
      <c r="C72" s="68"/>
      <c r="D72" s="114">
        <f t="shared" si="5"/>
        <v>0</v>
      </c>
      <c r="E72" s="114">
        <f t="shared" si="5"/>
        <v>0</v>
      </c>
      <c r="F72" s="124">
        <v>0</v>
      </c>
      <c r="G72" s="63">
        <v>1</v>
      </c>
      <c r="H72" s="114">
        <f t="shared" si="6"/>
        <v>0</v>
      </c>
      <c r="I72" s="116">
        <f t="shared" si="7"/>
        <v>0</v>
      </c>
      <c r="J72" s="125"/>
      <c r="K72" s="54"/>
      <c r="L72" s="54"/>
      <c r="M72" s="54"/>
    </row>
    <row r="73" spans="1:13" ht="12.75">
      <c r="A73" s="103"/>
      <c r="B73" s="62" t="s">
        <v>71</v>
      </c>
      <c r="C73" s="68"/>
      <c r="D73" s="114">
        <f t="shared" si="5"/>
        <v>162.51375</v>
      </c>
      <c r="E73" s="114">
        <f t="shared" si="5"/>
        <v>812.56875</v>
      </c>
      <c r="F73" s="124">
        <v>0</v>
      </c>
      <c r="G73" s="63">
        <v>1</v>
      </c>
      <c r="H73" s="114">
        <f t="shared" si="6"/>
        <v>0</v>
      </c>
      <c r="I73" s="116">
        <f t="shared" si="7"/>
        <v>0</v>
      </c>
      <c r="J73" s="125"/>
      <c r="K73" s="54"/>
      <c r="L73" s="54"/>
      <c r="M73" s="54"/>
    </row>
    <row r="74" spans="1:13" ht="12.75">
      <c r="A74" s="103"/>
      <c r="B74" s="62" t="s">
        <v>72</v>
      </c>
      <c r="C74" s="68"/>
      <c r="D74" s="114">
        <f t="shared" si="5"/>
        <v>104.473125</v>
      </c>
      <c r="E74" s="114">
        <f t="shared" si="5"/>
        <v>348.24375</v>
      </c>
      <c r="F74" s="124">
        <v>0</v>
      </c>
      <c r="G74" s="63">
        <v>1</v>
      </c>
      <c r="H74" s="114">
        <f t="shared" si="6"/>
        <v>0</v>
      </c>
      <c r="I74" s="116">
        <f t="shared" si="7"/>
        <v>0</v>
      </c>
      <c r="J74" s="125"/>
      <c r="K74" s="54"/>
      <c r="L74" s="54"/>
      <c r="M74" s="54"/>
    </row>
    <row r="75" spans="1:13" ht="13.5" thickBot="1">
      <c r="A75" s="103"/>
      <c r="B75" s="92" t="s">
        <v>11</v>
      </c>
      <c r="C75" s="93"/>
      <c r="D75" s="120">
        <f>SUM(D65:D74)</f>
        <v>2670.2934375000004</v>
      </c>
      <c r="E75" s="120">
        <f>SUM(E65:E74)</f>
        <v>9716.85</v>
      </c>
      <c r="F75" s="128"/>
      <c r="G75" s="129"/>
      <c r="H75" s="120">
        <f>SUM(H65:H74)</f>
        <v>194.07510937499998</v>
      </c>
      <c r="I75" s="122">
        <f>SUM(I65:I74)</f>
        <v>542.53828125</v>
      </c>
      <c r="J75" s="125"/>
      <c r="K75" s="54"/>
      <c r="L75" s="54"/>
      <c r="M75" s="54"/>
    </row>
    <row r="76" spans="1:13" ht="12.75">
      <c r="A76" s="103"/>
      <c r="B76" s="130" t="s">
        <v>103</v>
      </c>
      <c r="C76" s="68"/>
      <c r="D76" s="131"/>
      <c r="E76" s="131"/>
      <c r="F76" s="125"/>
      <c r="G76" s="125"/>
      <c r="H76" s="125"/>
      <c r="I76" s="125"/>
      <c r="J76" s="54"/>
      <c r="K76" s="54"/>
      <c r="L76" s="54"/>
      <c r="M76" s="54"/>
    </row>
    <row r="77" spans="1:13" ht="12.75">
      <c r="A77" s="103"/>
      <c r="B77" s="130" t="s">
        <v>104</v>
      </c>
      <c r="C77" s="125"/>
      <c r="D77" s="125"/>
      <c r="E77" s="125"/>
      <c r="F77" s="125"/>
      <c r="G77" s="125"/>
      <c r="H77" s="125"/>
      <c r="I77" s="125"/>
      <c r="J77" s="54"/>
      <c r="K77" s="54"/>
      <c r="L77" s="54"/>
      <c r="M77" s="54"/>
    </row>
    <row r="78" spans="1:13" ht="13.5" thickBot="1">
      <c r="A78" s="103"/>
      <c r="B78" s="103"/>
      <c r="C78" s="125"/>
      <c r="D78" s="125"/>
      <c r="E78" s="125"/>
      <c r="F78" s="125"/>
      <c r="G78" s="125"/>
      <c r="H78" s="125"/>
      <c r="I78" s="125"/>
      <c r="J78" s="54"/>
      <c r="K78" s="54"/>
      <c r="L78" s="54"/>
      <c r="M78" s="54"/>
    </row>
    <row r="79" spans="1:13" ht="15">
      <c r="A79" s="103"/>
      <c r="B79" s="74" t="s">
        <v>105</v>
      </c>
      <c r="C79" s="57"/>
      <c r="D79" s="57"/>
      <c r="E79" s="57"/>
      <c r="F79" s="57"/>
      <c r="G79" s="57"/>
      <c r="H79" s="57"/>
      <c r="I79" s="57"/>
      <c r="J79" s="58"/>
      <c r="K79" s="54"/>
      <c r="L79" s="54"/>
      <c r="M79" s="54"/>
    </row>
    <row r="80" spans="1:13" ht="13.5" thickBot="1">
      <c r="A80" s="103"/>
      <c r="B80" s="75" t="s">
        <v>49</v>
      </c>
      <c r="C80" s="99"/>
      <c r="D80" s="106" t="s">
        <v>86</v>
      </c>
      <c r="E80" s="106"/>
      <c r="F80" s="79" t="s">
        <v>97</v>
      </c>
      <c r="G80" s="79" t="s">
        <v>106</v>
      </c>
      <c r="H80" s="79" t="s">
        <v>107</v>
      </c>
      <c r="I80" s="132" t="s">
        <v>108</v>
      </c>
      <c r="J80" s="133"/>
      <c r="K80" s="54"/>
      <c r="L80" s="54"/>
      <c r="M80" s="54"/>
    </row>
    <row r="81" spans="1:13" ht="12.75">
      <c r="A81" s="103"/>
      <c r="B81" s="75"/>
      <c r="C81" s="99"/>
      <c r="D81" s="79" t="s">
        <v>53</v>
      </c>
      <c r="E81" s="79" t="s">
        <v>54</v>
      </c>
      <c r="F81" s="79" t="s">
        <v>109</v>
      </c>
      <c r="G81" s="79"/>
      <c r="H81" s="79" t="s">
        <v>110</v>
      </c>
      <c r="I81" s="79" t="s">
        <v>111</v>
      </c>
      <c r="J81" s="112" t="s">
        <v>112</v>
      </c>
      <c r="K81" s="54"/>
      <c r="L81" s="54"/>
      <c r="M81" s="54"/>
    </row>
    <row r="82" spans="1:13" ht="12.75">
      <c r="A82" s="103"/>
      <c r="B82" s="75"/>
      <c r="C82" s="99"/>
      <c r="D82" s="127" t="s">
        <v>91</v>
      </c>
      <c r="E82" s="79" t="s">
        <v>92</v>
      </c>
      <c r="F82" s="79" t="s">
        <v>113</v>
      </c>
      <c r="G82" s="79"/>
      <c r="H82" s="79"/>
      <c r="I82" s="79" t="s">
        <v>92</v>
      </c>
      <c r="J82" s="112"/>
      <c r="K82" s="54"/>
      <c r="L82" s="54"/>
      <c r="M82" s="54"/>
    </row>
    <row r="83" spans="1:13" ht="12.75">
      <c r="A83" s="103"/>
      <c r="B83" s="62" t="s">
        <v>63</v>
      </c>
      <c r="C83" s="68"/>
      <c r="D83" s="114">
        <f aca="true" t="shared" si="8" ref="D83:E92">(G19)</f>
        <v>339.75</v>
      </c>
      <c r="E83" s="114">
        <f t="shared" si="8"/>
        <v>679.5</v>
      </c>
      <c r="F83" s="124">
        <v>15</v>
      </c>
      <c r="G83" s="124">
        <v>365</v>
      </c>
      <c r="H83" s="124">
        <v>1.05</v>
      </c>
      <c r="I83" s="114">
        <f aca="true" t="shared" si="9" ref="I83:I92">(D83*(F83/100)*(G83/365)*H83)</f>
        <v>53.510625</v>
      </c>
      <c r="J83" s="116">
        <f aca="true" t="shared" si="10" ref="J83:J92">(E83*(F83/100)*(G83/365)*H83)</f>
        <v>107.02125</v>
      </c>
      <c r="K83" s="54"/>
      <c r="L83" s="54"/>
      <c r="M83" s="54"/>
    </row>
    <row r="84" spans="1:13" ht="12.75">
      <c r="A84" s="103"/>
      <c r="B84" s="62" t="s">
        <v>64</v>
      </c>
      <c r="C84" s="68"/>
      <c r="D84" s="114">
        <f t="shared" si="8"/>
        <v>339.75</v>
      </c>
      <c r="E84" s="114">
        <f t="shared" si="8"/>
        <v>679.5</v>
      </c>
      <c r="F84" s="124">
        <v>15</v>
      </c>
      <c r="G84" s="124">
        <v>365</v>
      </c>
      <c r="H84" s="124">
        <v>1.05</v>
      </c>
      <c r="I84" s="114">
        <f t="shared" si="9"/>
        <v>53.510625</v>
      </c>
      <c r="J84" s="116">
        <f t="shared" si="10"/>
        <v>107.02125</v>
      </c>
      <c r="K84" s="54"/>
      <c r="L84" s="54"/>
      <c r="M84" s="54"/>
    </row>
    <row r="85" spans="1:13" ht="12.75">
      <c r="A85" s="103"/>
      <c r="B85" s="62" t="s">
        <v>65</v>
      </c>
      <c r="C85" s="68"/>
      <c r="D85" s="114">
        <f t="shared" si="8"/>
        <v>853.1971875</v>
      </c>
      <c r="E85" s="114">
        <f t="shared" si="8"/>
        <v>2843.990625</v>
      </c>
      <c r="F85" s="124">
        <v>0</v>
      </c>
      <c r="G85" s="124">
        <v>180</v>
      </c>
      <c r="H85" s="124">
        <v>1.05</v>
      </c>
      <c r="I85" s="114">
        <f t="shared" si="9"/>
        <v>0</v>
      </c>
      <c r="J85" s="116">
        <f t="shared" si="10"/>
        <v>0</v>
      </c>
      <c r="K85" s="54"/>
      <c r="L85" s="54"/>
      <c r="M85" s="54"/>
    </row>
    <row r="86" spans="1:13" ht="12.75">
      <c r="A86" s="103"/>
      <c r="B86" s="62" t="s">
        <v>66</v>
      </c>
      <c r="C86" s="68"/>
      <c r="D86" s="114">
        <f t="shared" si="8"/>
        <v>92.86500000000002</v>
      </c>
      <c r="E86" s="114">
        <f t="shared" si="8"/>
        <v>464.32500000000005</v>
      </c>
      <c r="F86" s="124">
        <v>0</v>
      </c>
      <c r="G86" s="124">
        <v>180</v>
      </c>
      <c r="H86" s="124">
        <v>1.05</v>
      </c>
      <c r="I86" s="114">
        <f t="shared" si="9"/>
        <v>0</v>
      </c>
      <c r="J86" s="116">
        <f t="shared" si="10"/>
        <v>0</v>
      </c>
      <c r="K86" s="54"/>
      <c r="L86" s="54"/>
      <c r="M86" s="54"/>
    </row>
    <row r="87" spans="1:13" ht="12.75">
      <c r="A87" s="103"/>
      <c r="B87" s="62" t="s">
        <v>67</v>
      </c>
      <c r="C87" s="68"/>
      <c r="D87" s="114">
        <f t="shared" si="8"/>
        <v>557.19</v>
      </c>
      <c r="E87" s="114">
        <f t="shared" si="8"/>
        <v>2785.95</v>
      </c>
      <c r="F87" s="124">
        <v>0</v>
      </c>
      <c r="G87" s="124">
        <v>180</v>
      </c>
      <c r="H87" s="124">
        <v>1.05</v>
      </c>
      <c r="I87" s="114">
        <f t="shared" si="9"/>
        <v>0</v>
      </c>
      <c r="J87" s="116">
        <f t="shared" si="10"/>
        <v>0</v>
      </c>
      <c r="K87" s="54"/>
      <c r="L87" s="54"/>
      <c r="M87" s="54"/>
    </row>
    <row r="88" spans="1:13" ht="12.75">
      <c r="A88" s="103"/>
      <c r="B88" s="62" t="s">
        <v>68</v>
      </c>
      <c r="C88" s="68"/>
      <c r="D88" s="114">
        <f t="shared" si="8"/>
        <v>0</v>
      </c>
      <c r="E88" s="114">
        <f t="shared" si="8"/>
        <v>0</v>
      </c>
      <c r="F88" s="124">
        <v>0</v>
      </c>
      <c r="G88" s="124">
        <v>0</v>
      </c>
      <c r="H88" s="124">
        <v>1.05</v>
      </c>
      <c r="I88" s="114">
        <f t="shared" si="9"/>
        <v>0</v>
      </c>
      <c r="J88" s="116">
        <f t="shared" si="10"/>
        <v>0</v>
      </c>
      <c r="K88" s="54"/>
      <c r="L88" s="54"/>
      <c r="M88" s="54"/>
    </row>
    <row r="89" spans="1:13" ht="12.75">
      <c r="A89" s="103"/>
      <c r="B89" s="62" t="s">
        <v>69</v>
      </c>
      <c r="C89" s="68"/>
      <c r="D89" s="114">
        <f t="shared" si="8"/>
        <v>220.554375</v>
      </c>
      <c r="E89" s="114">
        <f t="shared" si="8"/>
        <v>1102.771875</v>
      </c>
      <c r="F89" s="124">
        <v>0</v>
      </c>
      <c r="G89" s="124">
        <v>0</v>
      </c>
      <c r="H89" s="124">
        <v>1.05</v>
      </c>
      <c r="I89" s="114">
        <f t="shared" si="9"/>
        <v>0</v>
      </c>
      <c r="J89" s="116">
        <f t="shared" si="10"/>
        <v>0</v>
      </c>
      <c r="K89" s="54"/>
      <c r="L89" s="54"/>
      <c r="M89" s="54"/>
    </row>
    <row r="90" spans="1:13" ht="12.75">
      <c r="A90" s="103"/>
      <c r="B90" s="62" t="s">
        <v>70</v>
      </c>
      <c r="C90" s="68"/>
      <c r="D90" s="114">
        <f t="shared" si="8"/>
        <v>0</v>
      </c>
      <c r="E90" s="114">
        <f t="shared" si="8"/>
        <v>0</v>
      </c>
      <c r="F90" s="124">
        <v>0</v>
      </c>
      <c r="G90" s="124">
        <v>180</v>
      </c>
      <c r="H90" s="124">
        <v>1.05</v>
      </c>
      <c r="I90" s="114">
        <f t="shared" si="9"/>
        <v>0</v>
      </c>
      <c r="J90" s="116">
        <f t="shared" si="10"/>
        <v>0</v>
      </c>
      <c r="K90" s="54"/>
      <c r="L90" s="54"/>
      <c r="M90" s="54"/>
    </row>
    <row r="91" spans="1:13" ht="12.75">
      <c r="A91" s="103"/>
      <c r="B91" s="62" t="s">
        <v>71</v>
      </c>
      <c r="C91" s="68"/>
      <c r="D91" s="114">
        <f t="shared" si="8"/>
        <v>162.51375</v>
      </c>
      <c r="E91" s="114">
        <f t="shared" si="8"/>
        <v>812.56875</v>
      </c>
      <c r="F91" s="124">
        <v>0</v>
      </c>
      <c r="G91" s="124">
        <v>180</v>
      </c>
      <c r="H91" s="124">
        <v>1.05</v>
      </c>
      <c r="I91" s="114">
        <f t="shared" si="9"/>
        <v>0</v>
      </c>
      <c r="J91" s="116">
        <f t="shared" si="10"/>
        <v>0</v>
      </c>
      <c r="K91" s="54"/>
      <c r="L91" s="54"/>
      <c r="M91" s="54"/>
    </row>
    <row r="92" spans="1:13" ht="12.75">
      <c r="A92" s="103"/>
      <c r="B92" s="62" t="s">
        <v>72</v>
      </c>
      <c r="C92" s="68"/>
      <c r="D92" s="114">
        <f t="shared" si="8"/>
        <v>104.473125</v>
      </c>
      <c r="E92" s="114">
        <f t="shared" si="8"/>
        <v>348.24375</v>
      </c>
      <c r="F92" s="124">
        <v>0</v>
      </c>
      <c r="G92" s="124">
        <v>0</v>
      </c>
      <c r="H92" s="124">
        <v>1.05</v>
      </c>
      <c r="I92" s="114">
        <f t="shared" si="9"/>
        <v>0</v>
      </c>
      <c r="J92" s="116">
        <f t="shared" si="10"/>
        <v>0</v>
      </c>
      <c r="K92" s="54"/>
      <c r="L92" s="54"/>
      <c r="M92" s="54"/>
    </row>
    <row r="93" spans="1:13" ht="13.5" thickBot="1">
      <c r="A93" s="103"/>
      <c r="B93" s="92" t="s">
        <v>11</v>
      </c>
      <c r="C93" s="93"/>
      <c r="D93" s="120">
        <f>SUM(D83:D92)</f>
        <v>2670.2934375000004</v>
      </c>
      <c r="E93" s="120">
        <f>SUM(E83:E92)</f>
        <v>9716.85</v>
      </c>
      <c r="F93" s="128"/>
      <c r="G93" s="128"/>
      <c r="H93" s="128"/>
      <c r="I93" s="120">
        <f>SUM(I83:I92)</f>
        <v>107.02125</v>
      </c>
      <c r="J93" s="122">
        <f>SUM(J83:J92)</f>
        <v>214.0425</v>
      </c>
      <c r="K93" s="54"/>
      <c r="L93" s="54"/>
      <c r="M93" s="54"/>
    </row>
    <row r="94" spans="1:13" ht="12.75">
      <c r="A94" s="103"/>
      <c r="B94" s="54" t="s">
        <v>114</v>
      </c>
      <c r="C94" s="68"/>
      <c r="D94" s="131"/>
      <c r="E94" s="131"/>
      <c r="F94" s="125"/>
      <c r="G94" s="125"/>
      <c r="H94" s="125"/>
      <c r="I94" s="125"/>
      <c r="J94" s="54"/>
      <c r="K94" s="54"/>
      <c r="L94" s="54"/>
      <c r="M94" s="54"/>
    </row>
    <row r="95" spans="1:13" ht="12.75">
      <c r="A95" s="103"/>
      <c r="B95" s="54" t="s">
        <v>115</v>
      </c>
      <c r="C95" s="68"/>
      <c r="D95" s="125"/>
      <c r="E95" s="125"/>
      <c r="F95" s="125"/>
      <c r="G95" s="125"/>
      <c r="H95" s="125"/>
      <c r="I95" s="125"/>
      <c r="J95" s="54"/>
      <c r="K95" s="54"/>
      <c r="L95" s="54"/>
      <c r="M95" s="54"/>
    </row>
    <row r="96" spans="1:13" ht="12.75">
      <c r="A96" s="103"/>
      <c r="B96" s="54" t="s">
        <v>116</v>
      </c>
      <c r="C96" s="54"/>
      <c r="D96" s="125"/>
      <c r="E96" s="125"/>
      <c r="F96" s="125"/>
      <c r="G96" s="125"/>
      <c r="H96" s="125"/>
      <c r="I96" s="125"/>
      <c r="J96" s="54"/>
      <c r="K96" s="54"/>
      <c r="L96" s="54"/>
      <c r="M96" s="54"/>
    </row>
    <row r="97" spans="1:13" ht="12.75">
      <c r="A97" s="54"/>
      <c r="B97" s="54" t="s">
        <v>117</v>
      </c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</row>
    <row r="98" spans="1:13" ht="12.7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</row>
    <row r="99" spans="1:13" ht="12.7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</row>
    <row r="100" spans="1:13" ht="12.7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</row>
    <row r="101" spans="1:13" ht="15">
      <c r="A101" s="55" t="s">
        <v>118</v>
      </c>
      <c r="B101" s="101" t="s">
        <v>119</v>
      </c>
      <c r="C101" s="102"/>
      <c r="D101" s="102"/>
      <c r="E101" s="134"/>
      <c r="F101" s="102"/>
      <c r="G101" s="102"/>
      <c r="H101" s="102"/>
      <c r="I101" s="102"/>
      <c r="J101" s="54"/>
      <c r="K101" s="54"/>
      <c r="L101" s="54"/>
      <c r="M101" s="54"/>
    </row>
    <row r="102" spans="1:13" ht="13.5" thickBot="1">
      <c r="A102" s="54"/>
      <c r="B102" s="135" t="s">
        <v>120</v>
      </c>
      <c r="C102" s="102"/>
      <c r="D102" s="102"/>
      <c r="E102" s="102"/>
      <c r="F102" s="102"/>
      <c r="G102" s="102"/>
      <c r="H102" s="102"/>
      <c r="I102" s="102"/>
      <c r="J102" s="54"/>
      <c r="K102" s="54"/>
      <c r="L102" s="54"/>
      <c r="M102" s="54"/>
    </row>
    <row r="103" spans="1:13" ht="12.75">
      <c r="A103" s="54"/>
      <c r="B103" s="136" t="s">
        <v>121</v>
      </c>
      <c r="C103" s="137" t="s">
        <v>122</v>
      </c>
      <c r="D103" s="137" t="s">
        <v>123</v>
      </c>
      <c r="E103" s="137" t="s">
        <v>124</v>
      </c>
      <c r="F103" s="137" t="s">
        <v>125</v>
      </c>
      <c r="G103" s="138" t="s">
        <v>126</v>
      </c>
      <c r="H103" s="139" t="s">
        <v>127</v>
      </c>
      <c r="I103" s="140" t="s">
        <v>128</v>
      </c>
      <c r="J103" s="141"/>
      <c r="K103" s="54"/>
      <c r="L103" s="54"/>
      <c r="M103" s="54"/>
    </row>
    <row r="104" spans="1:13" ht="12.75">
      <c r="A104" s="54"/>
      <c r="B104" s="75" t="s">
        <v>129</v>
      </c>
      <c r="C104" s="68"/>
      <c r="D104" s="123" t="s">
        <v>130</v>
      </c>
      <c r="E104" s="123" t="s">
        <v>131</v>
      </c>
      <c r="F104" s="123" t="s">
        <v>132</v>
      </c>
      <c r="G104" s="142"/>
      <c r="H104" s="143" t="s">
        <v>133</v>
      </c>
      <c r="I104" s="64"/>
      <c r="J104" s="54"/>
      <c r="K104" s="54"/>
      <c r="L104" s="54"/>
      <c r="M104" s="54"/>
    </row>
    <row r="105" spans="1:13" ht="13.5" thickBot="1">
      <c r="A105" s="54"/>
      <c r="B105" s="62"/>
      <c r="C105" s="68"/>
      <c r="D105" s="123"/>
      <c r="E105" s="123" t="s">
        <v>134</v>
      </c>
      <c r="F105" s="68"/>
      <c r="G105" s="144"/>
      <c r="H105" s="143" t="s">
        <v>135</v>
      </c>
      <c r="I105" s="64"/>
      <c r="J105" s="54"/>
      <c r="K105" s="54"/>
      <c r="L105" s="54"/>
      <c r="M105" s="54"/>
    </row>
    <row r="106" spans="1:13" ht="13.5" thickBot="1">
      <c r="A106" s="136" t="s">
        <v>25</v>
      </c>
      <c r="B106" s="100">
        <f>(G56)</f>
        <v>24660.753749999996</v>
      </c>
      <c r="C106" s="100">
        <f>(B106/264)</f>
        <v>93.41194602272726</v>
      </c>
      <c r="D106" s="63">
        <v>264</v>
      </c>
      <c r="E106" s="63">
        <v>225</v>
      </c>
      <c r="F106" s="63">
        <v>15</v>
      </c>
      <c r="G106" s="145">
        <f>(C106/F106)*(264/225)</f>
        <v>7.306889999999999</v>
      </c>
      <c r="H106" s="146"/>
      <c r="I106" s="147"/>
      <c r="J106" s="54"/>
      <c r="K106" s="54"/>
      <c r="L106" s="54"/>
      <c r="M106" s="54"/>
    </row>
    <row r="107" spans="1:13" ht="13.5" thickBot="1">
      <c r="A107" s="148" t="s">
        <v>26</v>
      </c>
      <c r="B107" s="149">
        <f>(H56)</f>
        <v>80384.84999999998</v>
      </c>
      <c r="C107" s="149">
        <f>(B107/264)</f>
        <v>304.4880681818181</v>
      </c>
      <c r="D107" s="71">
        <v>264</v>
      </c>
      <c r="E107" s="71">
        <v>225</v>
      </c>
      <c r="F107" s="71">
        <v>15</v>
      </c>
      <c r="G107" s="150">
        <f>(C107/F107)*(264/225)</f>
        <v>23.817733333333326</v>
      </c>
      <c r="H107" s="146"/>
      <c r="I107" s="147"/>
      <c r="J107" s="54"/>
      <c r="K107" s="54"/>
      <c r="L107" s="54"/>
      <c r="M107" s="54"/>
    </row>
    <row r="108" spans="1:13" ht="12.75">
      <c r="A108" s="54"/>
      <c r="B108" s="151" t="s">
        <v>136</v>
      </c>
      <c r="C108" s="152"/>
      <c r="D108" s="54"/>
      <c r="E108" s="54"/>
      <c r="F108" s="54"/>
      <c r="G108" s="54"/>
      <c r="H108" s="54"/>
      <c r="I108" s="54"/>
      <c r="J108" s="54"/>
      <c r="K108" s="54"/>
      <c r="L108" s="54"/>
      <c r="M108" s="54"/>
    </row>
    <row r="109" spans="1:13" ht="12.75">
      <c r="A109" s="54"/>
      <c r="B109" s="151" t="s">
        <v>137</v>
      </c>
      <c r="C109" s="152"/>
      <c r="D109" s="54"/>
      <c r="E109" s="54"/>
      <c r="F109" s="54"/>
      <c r="G109" s="54"/>
      <c r="H109" s="54"/>
      <c r="I109" s="54"/>
      <c r="J109" s="54"/>
      <c r="K109" s="54"/>
      <c r="L109" s="54"/>
      <c r="M109" s="54"/>
    </row>
    <row r="110" spans="1:13" ht="12.75">
      <c r="A110" s="54"/>
      <c r="B110" s="151" t="s">
        <v>138</v>
      </c>
      <c r="C110" s="152"/>
      <c r="D110" s="54"/>
      <c r="E110" s="54"/>
      <c r="F110" s="54"/>
      <c r="G110" s="54"/>
      <c r="H110" s="54"/>
      <c r="I110" s="54"/>
      <c r="J110" s="54"/>
      <c r="K110" s="54"/>
      <c r="L110" s="54"/>
      <c r="M110" s="54"/>
    </row>
    <row r="111" spans="1:13" ht="12.75">
      <c r="A111" s="54"/>
      <c r="B111" s="54"/>
      <c r="C111" s="153" t="s">
        <v>139</v>
      </c>
      <c r="D111" s="54"/>
      <c r="E111" s="54"/>
      <c r="F111" s="54"/>
      <c r="G111" s="54"/>
      <c r="H111" s="54"/>
      <c r="I111" s="54"/>
      <c r="J111" s="54"/>
      <c r="K111" s="54"/>
      <c r="L111" s="54"/>
      <c r="M111" s="54"/>
    </row>
    <row r="112" spans="1:13" ht="12.75">
      <c r="A112" s="54"/>
      <c r="B112" s="54"/>
      <c r="C112" s="153" t="s">
        <v>140</v>
      </c>
      <c r="D112" s="154"/>
      <c r="E112" s="154"/>
      <c r="F112" s="154"/>
      <c r="G112" s="54"/>
      <c r="H112" s="54"/>
      <c r="I112" s="54"/>
      <c r="J112" s="54"/>
      <c r="K112" s="54"/>
      <c r="L112" s="54"/>
      <c r="M112" s="54"/>
    </row>
    <row r="113" spans="1:13" ht="12.75">
      <c r="A113" s="54"/>
      <c r="B113" s="54" t="s">
        <v>141</v>
      </c>
      <c r="C113" s="151" t="s">
        <v>142</v>
      </c>
      <c r="D113" s="154"/>
      <c r="E113" s="154"/>
      <c r="F113" s="154"/>
      <c r="G113" s="54"/>
      <c r="H113" s="54"/>
      <c r="I113" s="54"/>
      <c r="J113" s="54"/>
      <c r="K113" s="54"/>
      <c r="L113" s="54"/>
      <c r="M113" s="54"/>
    </row>
    <row r="114" spans="1:13" ht="12.75">
      <c r="A114" s="54"/>
      <c r="B114" s="99"/>
      <c r="C114" s="99" t="s">
        <v>143</v>
      </c>
      <c r="D114" s="154"/>
      <c r="E114" s="154"/>
      <c r="F114" s="154"/>
      <c r="G114" s="54"/>
      <c r="H114" s="54"/>
      <c r="I114" s="54"/>
      <c r="J114" s="54"/>
      <c r="K114" s="54"/>
      <c r="L114" s="54"/>
      <c r="M114" s="54"/>
    </row>
    <row r="115" spans="1:13" ht="12.75">
      <c r="A115" s="54"/>
      <c r="B115" s="54" t="s">
        <v>144</v>
      </c>
      <c r="C115" s="54"/>
      <c r="D115" s="154"/>
      <c r="E115" s="154"/>
      <c r="F115" s="154"/>
      <c r="G115" s="54"/>
      <c r="H115" s="54"/>
      <c r="I115" s="54"/>
      <c r="J115" s="54"/>
      <c r="K115" s="54"/>
      <c r="L115" s="54"/>
      <c r="M115" s="54"/>
    </row>
    <row r="116" spans="1:13" ht="12.75">
      <c r="A116" s="54"/>
      <c r="B116" s="54" t="s">
        <v>145</v>
      </c>
      <c r="C116" s="54"/>
      <c r="D116" s="154"/>
      <c r="E116" s="154"/>
      <c r="F116" s="154"/>
      <c r="G116" s="54"/>
      <c r="H116" s="54"/>
      <c r="I116" s="54"/>
      <c r="J116" s="54"/>
      <c r="K116" s="54"/>
      <c r="L116" s="54"/>
      <c r="M116" s="54"/>
    </row>
    <row r="117" spans="1:13" ht="12.75">
      <c r="A117" s="54"/>
      <c r="B117" s="54"/>
      <c r="C117" s="54"/>
      <c r="D117" s="154"/>
      <c r="E117" s="154"/>
      <c r="F117" s="154"/>
      <c r="G117" s="54"/>
      <c r="H117" s="54"/>
      <c r="I117" s="54"/>
      <c r="J117" s="54"/>
      <c r="K117" s="54"/>
      <c r="L117" s="54"/>
      <c r="M117" s="54"/>
    </row>
    <row r="118" spans="1:13" ht="13.5" thickBot="1">
      <c r="A118" s="54"/>
      <c r="B118" s="135" t="s">
        <v>146</v>
      </c>
      <c r="C118" s="155"/>
      <c r="D118" s="156"/>
      <c r="E118" s="156"/>
      <c r="F118" s="156"/>
      <c r="G118" s="102"/>
      <c r="H118" s="102"/>
      <c r="I118" s="102"/>
      <c r="J118" s="102"/>
      <c r="K118" s="54"/>
      <c r="L118" s="54"/>
      <c r="M118" s="123"/>
    </row>
    <row r="119" spans="1:13" ht="12.75">
      <c r="A119" s="54"/>
      <c r="B119" s="136" t="s">
        <v>147</v>
      </c>
      <c r="C119" s="137" t="s">
        <v>148</v>
      </c>
      <c r="D119" s="137" t="s">
        <v>4</v>
      </c>
      <c r="E119" s="137" t="s">
        <v>5</v>
      </c>
      <c r="F119" s="137" t="s">
        <v>6</v>
      </c>
      <c r="G119" s="137" t="s">
        <v>149</v>
      </c>
      <c r="H119" s="137" t="s">
        <v>8</v>
      </c>
      <c r="I119" s="137" t="s">
        <v>9</v>
      </c>
      <c r="J119" s="140" t="s">
        <v>128</v>
      </c>
      <c r="K119" s="54"/>
      <c r="L119" s="54"/>
      <c r="M119" s="123"/>
    </row>
    <row r="120" spans="1:13" ht="13.5" thickBot="1">
      <c r="A120" s="54"/>
      <c r="B120" s="75" t="s">
        <v>150</v>
      </c>
      <c r="C120" s="123" t="s">
        <v>151</v>
      </c>
      <c r="D120" s="123"/>
      <c r="E120" s="123"/>
      <c r="F120" s="123"/>
      <c r="G120" s="123"/>
      <c r="H120" s="123"/>
      <c r="I120" s="123"/>
      <c r="J120" s="112"/>
      <c r="K120" s="54"/>
      <c r="L120" s="54"/>
      <c r="M120" s="123"/>
    </row>
    <row r="121" spans="1:13" ht="12.75">
      <c r="A121" s="136" t="s">
        <v>25</v>
      </c>
      <c r="B121" s="98">
        <f>(G106*(2/12))</f>
        <v>1.2178149999999999</v>
      </c>
      <c r="C121" s="98">
        <f>(G106*(5/12))</f>
        <v>3.0445374999999997</v>
      </c>
      <c r="D121" s="157">
        <f>(G106*(0.5/12))</f>
        <v>0.30445374999999997</v>
      </c>
      <c r="E121" s="157">
        <f>(G106*(1.5/12))</f>
        <v>0.9133612499999999</v>
      </c>
      <c r="F121" s="157">
        <f>(G106*(1/12))</f>
        <v>0.6089074999999999</v>
      </c>
      <c r="G121" s="157">
        <f>(G106*(1/12))</f>
        <v>0.6089074999999999</v>
      </c>
      <c r="H121" s="98">
        <f>(G106*(0.25/12))</f>
        <v>0.15222687499999998</v>
      </c>
      <c r="I121" s="98">
        <f>(G106*(0.75/12))</f>
        <v>0.45668062499999995</v>
      </c>
      <c r="J121" s="158">
        <f>(I121+H121+G121+F121+E121+D121+C121+B121)</f>
        <v>7.306889999999999</v>
      </c>
      <c r="K121" s="54"/>
      <c r="L121" s="54"/>
      <c r="M121" s="123"/>
    </row>
    <row r="122" spans="1:13" ht="13.5" thickBot="1">
      <c r="A122" s="148" t="s">
        <v>26</v>
      </c>
      <c r="B122" s="159">
        <f>(G107*(2/12))</f>
        <v>3.969622222222221</v>
      </c>
      <c r="C122" s="159">
        <f>(G107*(5/12))</f>
        <v>9.924055555555553</v>
      </c>
      <c r="D122" s="160">
        <f>(G107*(0.5/12))</f>
        <v>0.9924055555555552</v>
      </c>
      <c r="E122" s="160">
        <f>(G107*(1.5/12))</f>
        <v>2.9772166666666657</v>
      </c>
      <c r="F122" s="160">
        <f>(G107*(1/12))</f>
        <v>1.9848111111111104</v>
      </c>
      <c r="G122" s="160">
        <f>(G107*(1/12))</f>
        <v>1.9848111111111104</v>
      </c>
      <c r="H122" s="159">
        <f>(G107*(0.25/12))</f>
        <v>0.4962027777777776</v>
      </c>
      <c r="I122" s="159">
        <f>(G107*(0.75/12))</f>
        <v>1.4886083333333329</v>
      </c>
      <c r="J122" s="161">
        <f>(I122+H122+G122+F122+E122+D122+C122+B122)</f>
        <v>23.817733333333326</v>
      </c>
      <c r="K122" s="54"/>
      <c r="L122" s="54"/>
      <c r="M122" s="63"/>
    </row>
    <row r="123" spans="1:13" ht="12.75">
      <c r="A123" s="54"/>
      <c r="B123" s="54" t="s">
        <v>152</v>
      </c>
      <c r="C123" s="99"/>
      <c r="D123" s="154"/>
      <c r="E123" s="154"/>
      <c r="F123" s="154"/>
      <c r="G123" s="54"/>
      <c r="H123" s="54"/>
      <c r="I123" s="54"/>
      <c r="J123" s="54"/>
      <c r="K123" s="54"/>
      <c r="L123" s="54"/>
      <c r="M123" s="68"/>
    </row>
    <row r="124" spans="1:13" ht="12.75">
      <c r="A124" s="54"/>
      <c r="B124" s="54" t="s">
        <v>153</v>
      </c>
      <c r="C124" s="152"/>
      <c r="D124" s="54"/>
      <c r="E124" s="54"/>
      <c r="F124" s="54"/>
      <c r="G124" s="54"/>
      <c r="H124" s="54"/>
      <c r="I124" s="54"/>
      <c r="J124" s="54"/>
      <c r="K124" s="54"/>
      <c r="L124" s="54"/>
      <c r="M124" s="68"/>
    </row>
    <row r="125" spans="1:13" ht="12.75">
      <c r="A125" s="54"/>
      <c r="B125" s="54" t="s">
        <v>154</v>
      </c>
      <c r="C125" s="152"/>
      <c r="D125" s="54"/>
      <c r="E125" s="54"/>
      <c r="F125" s="54"/>
      <c r="G125" s="54"/>
      <c r="H125" s="54"/>
      <c r="I125" s="54"/>
      <c r="J125" s="54"/>
      <c r="K125" s="54"/>
      <c r="L125" s="54"/>
      <c r="M125" s="68"/>
    </row>
    <row r="126" spans="1:13" ht="12.7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68"/>
    </row>
    <row r="127" spans="1:13" ht="13.5" thickBot="1">
      <c r="A127" s="54"/>
      <c r="B127" s="135" t="s">
        <v>155</v>
      </c>
      <c r="C127" s="102"/>
      <c r="D127" s="102"/>
      <c r="E127" s="162"/>
      <c r="F127" s="102"/>
      <c r="G127" s="102"/>
      <c r="H127" s="102"/>
      <c r="I127" s="102"/>
      <c r="J127" s="54"/>
      <c r="K127" s="54"/>
      <c r="L127" s="54"/>
      <c r="M127" s="123"/>
    </row>
    <row r="128" spans="1:13" ht="12.75">
      <c r="A128" s="54"/>
      <c r="B128" s="138" t="s">
        <v>156</v>
      </c>
      <c r="C128" s="139" t="s">
        <v>157</v>
      </c>
      <c r="D128" s="163" t="s">
        <v>158</v>
      </c>
      <c r="E128" s="163" t="s">
        <v>4</v>
      </c>
      <c r="F128" s="163" t="s">
        <v>5</v>
      </c>
      <c r="G128" s="163" t="s">
        <v>147</v>
      </c>
      <c r="H128" s="163" t="s">
        <v>148</v>
      </c>
      <c r="I128" s="164" t="s">
        <v>128</v>
      </c>
      <c r="J128" s="54"/>
      <c r="K128" s="54"/>
      <c r="L128" s="54"/>
      <c r="M128" s="79"/>
    </row>
    <row r="129" spans="1:13" ht="13.5" thickBot="1">
      <c r="A129" s="54"/>
      <c r="B129" s="142"/>
      <c r="C129" s="143"/>
      <c r="D129" s="79"/>
      <c r="E129" s="79"/>
      <c r="F129" s="79"/>
      <c r="G129" s="79" t="s">
        <v>151</v>
      </c>
      <c r="H129" s="79" t="s">
        <v>151</v>
      </c>
      <c r="I129" s="82"/>
      <c r="J129" s="54"/>
      <c r="K129" s="54"/>
      <c r="L129" s="54"/>
      <c r="M129" s="68"/>
    </row>
    <row r="130" spans="1:13" ht="12.75">
      <c r="A130" s="136" t="s">
        <v>25</v>
      </c>
      <c r="B130" s="100">
        <f>(H75)</f>
        <v>194.07510937499998</v>
      </c>
      <c r="C130" s="157">
        <f>(B130*(1/100))</f>
        <v>1.9407510937499999</v>
      </c>
      <c r="D130" s="157">
        <f>(B130*(1/60))</f>
        <v>3.2345851562499996</v>
      </c>
      <c r="E130" s="157">
        <f>(B130*(1/60))</f>
        <v>3.2345851562499996</v>
      </c>
      <c r="F130" s="157">
        <f>(B130*(1/30))</f>
        <v>6.469170312499999</v>
      </c>
      <c r="G130" s="157">
        <v>0</v>
      </c>
      <c r="H130" s="98">
        <v>0</v>
      </c>
      <c r="I130" s="165">
        <f>SUM(C130:H130)</f>
        <v>14.879091718749999</v>
      </c>
      <c r="J130" s="54"/>
      <c r="K130" s="54"/>
      <c r="L130" s="54"/>
      <c r="M130" s="68"/>
    </row>
    <row r="131" spans="1:13" ht="13.5" thickBot="1">
      <c r="A131" s="148" t="s">
        <v>26</v>
      </c>
      <c r="B131" s="149">
        <f>(I75)</f>
        <v>542.53828125</v>
      </c>
      <c r="C131" s="160">
        <f>(B131*(1/100))</f>
        <v>5.4253828125</v>
      </c>
      <c r="D131" s="160">
        <f>(B131*(1/60))</f>
        <v>9.0423046875</v>
      </c>
      <c r="E131" s="160">
        <f>(B131*(1/60))</f>
        <v>9.0423046875</v>
      </c>
      <c r="F131" s="160">
        <f>(B131*(1/30))</f>
        <v>18.084609375</v>
      </c>
      <c r="G131" s="160">
        <v>0</v>
      </c>
      <c r="H131" s="159">
        <v>0</v>
      </c>
      <c r="I131" s="166">
        <f>SUM(C131:H131)</f>
        <v>41.5946015625</v>
      </c>
      <c r="J131" s="54"/>
      <c r="K131" s="54"/>
      <c r="L131" s="54"/>
      <c r="M131" s="100"/>
    </row>
    <row r="132" spans="1:13" ht="12.75">
      <c r="A132" s="54"/>
      <c r="B132" s="54" t="s">
        <v>159</v>
      </c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68"/>
    </row>
    <row r="133" spans="1:13" ht="12.75">
      <c r="A133" s="54"/>
      <c r="B133" s="54" t="s">
        <v>160</v>
      </c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68"/>
    </row>
    <row r="134" spans="1:13" ht="12.75">
      <c r="A134" s="54"/>
      <c r="B134" s="54" t="s">
        <v>161</v>
      </c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68"/>
    </row>
    <row r="135" spans="1:13" ht="12.7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68"/>
    </row>
    <row r="136" spans="1:13" ht="13.5" thickBot="1">
      <c r="A136" s="54"/>
      <c r="B136" s="135" t="s">
        <v>162</v>
      </c>
      <c r="C136" s="102"/>
      <c r="D136" s="102"/>
      <c r="E136" s="102"/>
      <c r="F136" s="102"/>
      <c r="G136" s="102"/>
      <c r="H136" s="54"/>
      <c r="I136" s="54"/>
      <c r="J136" s="54"/>
      <c r="K136" s="54"/>
      <c r="L136" s="54"/>
      <c r="M136" s="123"/>
    </row>
    <row r="137" spans="1:13" ht="12.75">
      <c r="A137" s="54"/>
      <c r="B137" s="138" t="s">
        <v>163</v>
      </c>
      <c r="C137" s="139" t="s">
        <v>164</v>
      </c>
      <c r="D137" s="163" t="s">
        <v>9</v>
      </c>
      <c r="E137" s="163" t="s">
        <v>158</v>
      </c>
      <c r="F137" s="163" t="s">
        <v>165</v>
      </c>
      <c r="G137" s="164" t="s">
        <v>128</v>
      </c>
      <c r="H137" s="54"/>
      <c r="I137" s="79"/>
      <c r="J137" s="79"/>
      <c r="K137" s="54"/>
      <c r="L137" s="54"/>
      <c r="M137" s="79"/>
    </row>
    <row r="138" spans="1:13" ht="13.5" thickBot="1">
      <c r="A138" s="54"/>
      <c r="B138" s="144"/>
      <c r="C138" s="143" t="s">
        <v>166</v>
      </c>
      <c r="D138" s="79"/>
      <c r="E138" s="79"/>
      <c r="F138" s="79" t="s">
        <v>151</v>
      </c>
      <c r="G138" s="167"/>
      <c r="H138" s="54"/>
      <c r="I138" s="79"/>
      <c r="J138" s="79"/>
      <c r="K138" s="54"/>
      <c r="L138" s="54"/>
      <c r="M138" s="63"/>
    </row>
    <row r="139" spans="1:13" ht="12.75">
      <c r="A139" s="136" t="s">
        <v>25</v>
      </c>
      <c r="B139" s="100">
        <f>(I93)</f>
        <v>107.02125</v>
      </c>
      <c r="C139" s="157">
        <f>(B139*(1/40))</f>
        <v>2.67553125</v>
      </c>
      <c r="D139" s="157">
        <f>(B139*(1/80))</f>
        <v>1.337765625</v>
      </c>
      <c r="E139" s="157">
        <f>(B139*(1/50))</f>
        <v>2.140425</v>
      </c>
      <c r="F139" s="157">
        <f>(B139*(1/20))</f>
        <v>5.3510625</v>
      </c>
      <c r="G139" s="168">
        <f>SUM(C139:F139)</f>
        <v>11.504784375</v>
      </c>
      <c r="H139" s="54"/>
      <c r="I139" s="79"/>
      <c r="J139" s="79"/>
      <c r="K139" s="54"/>
      <c r="L139" s="54"/>
      <c r="M139" s="63"/>
    </row>
    <row r="140" spans="1:13" ht="13.5" thickBot="1">
      <c r="A140" s="148" t="s">
        <v>26</v>
      </c>
      <c r="B140" s="149">
        <f>(J93)</f>
        <v>214.0425</v>
      </c>
      <c r="C140" s="160">
        <f>(B140*(1/40))</f>
        <v>5.3510625</v>
      </c>
      <c r="D140" s="160">
        <f>(B140*(1/80))</f>
        <v>2.67553125</v>
      </c>
      <c r="E140" s="160">
        <f>(B140*(1/50))</f>
        <v>4.28085</v>
      </c>
      <c r="F140" s="160">
        <f>(B140*(1/20))</f>
        <v>10.702125</v>
      </c>
      <c r="G140" s="169">
        <f>SUM(C140:F140)</f>
        <v>23.00956875</v>
      </c>
      <c r="H140" s="54"/>
      <c r="I140" s="100"/>
      <c r="J140" s="100"/>
      <c r="K140" s="54"/>
      <c r="L140" s="54"/>
      <c r="M140" s="100"/>
    </row>
    <row r="141" spans="1:13" ht="12.75">
      <c r="A141" s="54"/>
      <c r="B141" s="54" t="s">
        <v>167</v>
      </c>
      <c r="C141" s="63"/>
      <c r="D141" s="63"/>
      <c r="E141" s="63"/>
      <c r="F141" s="63"/>
      <c r="G141" s="63"/>
      <c r="H141" s="63"/>
      <c r="I141" s="100"/>
      <c r="J141" s="100"/>
      <c r="K141" s="54"/>
      <c r="L141" s="54"/>
      <c r="M141" s="170"/>
    </row>
    <row r="142" spans="1:13" ht="12.75">
      <c r="A142" s="54"/>
      <c r="B142" s="54" t="s">
        <v>168</v>
      </c>
      <c r="C142" s="68"/>
      <c r="D142" s="68"/>
      <c r="E142" s="68"/>
      <c r="F142" s="68"/>
      <c r="G142" s="54"/>
      <c r="H142" s="68"/>
      <c r="I142" s="63"/>
      <c r="J142" s="54"/>
      <c r="K142" s="54"/>
      <c r="L142" s="54"/>
      <c r="M142" s="68"/>
    </row>
    <row r="143" spans="1:13" ht="12.75">
      <c r="A143" s="54"/>
      <c r="B143" s="54"/>
      <c r="C143" s="68"/>
      <c r="D143" s="68"/>
      <c r="E143" s="68"/>
      <c r="F143" s="68"/>
      <c r="G143" s="54"/>
      <c r="H143" s="68"/>
      <c r="I143" s="63"/>
      <c r="J143" s="54"/>
      <c r="K143" s="54"/>
      <c r="L143" s="54"/>
      <c r="M143" s="68"/>
    </row>
    <row r="144" spans="1:13" ht="12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68"/>
    </row>
    <row r="145" spans="1:13" ht="13.5" thickBot="1">
      <c r="A145" s="54"/>
      <c r="B145" s="135" t="s">
        <v>169</v>
      </c>
      <c r="C145" s="102"/>
      <c r="D145" s="102"/>
      <c r="E145" s="102"/>
      <c r="F145" s="102"/>
      <c r="G145" s="54"/>
      <c r="H145" s="54"/>
      <c r="I145" s="54"/>
      <c r="J145" s="54"/>
      <c r="K145" s="54"/>
      <c r="L145" s="54"/>
      <c r="M145" s="123"/>
    </row>
    <row r="146" spans="1:13" ht="12.75">
      <c r="A146" s="54"/>
      <c r="B146" s="139" t="s">
        <v>170</v>
      </c>
      <c r="C146" s="163" t="s">
        <v>171</v>
      </c>
      <c r="D146" s="163"/>
      <c r="E146" s="163" t="s">
        <v>172</v>
      </c>
      <c r="F146" s="164" t="s">
        <v>173</v>
      </c>
      <c r="G146" s="54"/>
      <c r="H146" s="54"/>
      <c r="I146" s="54"/>
      <c r="J146" s="54"/>
      <c r="K146" s="54"/>
      <c r="L146" s="54"/>
      <c r="M146" s="79"/>
    </row>
    <row r="147" spans="1:13" ht="12.75">
      <c r="A147" s="54"/>
      <c r="B147" s="143" t="s">
        <v>174</v>
      </c>
      <c r="C147" s="79" t="s">
        <v>175</v>
      </c>
      <c r="D147" s="79"/>
      <c r="E147" s="79" t="s">
        <v>176</v>
      </c>
      <c r="F147" s="82" t="s">
        <v>176</v>
      </c>
      <c r="G147" s="54"/>
      <c r="H147" s="54"/>
      <c r="I147" s="54"/>
      <c r="J147" s="54"/>
      <c r="K147" s="54"/>
      <c r="L147" s="54"/>
      <c r="M147" s="79"/>
    </row>
    <row r="148" spans="1:13" ht="13.5" thickBot="1">
      <c r="A148" s="54"/>
      <c r="B148" s="62"/>
      <c r="C148" s="68"/>
      <c r="D148" s="68"/>
      <c r="E148" s="79" t="s">
        <v>177</v>
      </c>
      <c r="F148" s="82" t="s">
        <v>178</v>
      </c>
      <c r="G148" s="54"/>
      <c r="H148" s="54"/>
      <c r="I148" s="54"/>
      <c r="J148" s="54"/>
      <c r="K148" s="54"/>
      <c r="L148" s="54"/>
      <c r="M148" s="68"/>
    </row>
    <row r="149" spans="1:13" ht="12.75">
      <c r="A149" s="136" t="s">
        <v>25</v>
      </c>
      <c r="B149" s="63">
        <f>(C6*(0.2/100000))</f>
        <v>0.19999999999999998</v>
      </c>
      <c r="C149" s="63">
        <f>(C6*(1/100000))</f>
        <v>1</v>
      </c>
      <c r="D149" s="63"/>
      <c r="E149" s="63">
        <f>(C6*(0.5/100000))</f>
        <v>0.5</v>
      </c>
      <c r="F149" s="69">
        <f>(B149+C149+D149+E149)</f>
        <v>1.7</v>
      </c>
      <c r="G149" s="54"/>
      <c r="H149" s="54"/>
      <c r="I149" s="54"/>
      <c r="J149" s="54"/>
      <c r="K149" s="54"/>
      <c r="L149" s="54"/>
      <c r="M149" s="68"/>
    </row>
    <row r="150" spans="1:13" ht="13.5" thickBot="1">
      <c r="A150" s="148" t="s">
        <v>26</v>
      </c>
      <c r="B150" s="71">
        <f>(C6*(0.5/100000))</f>
        <v>0.5</v>
      </c>
      <c r="C150" s="71">
        <f>(C6*(4/100000))</f>
        <v>4</v>
      </c>
      <c r="D150" s="71"/>
      <c r="E150" s="71">
        <f>(C6*(2/100000))</f>
        <v>2</v>
      </c>
      <c r="F150" s="171">
        <f>(B150+C150+D150+E150)</f>
        <v>6.5</v>
      </c>
      <c r="G150" s="54"/>
      <c r="H150" s="54"/>
      <c r="I150" s="54"/>
      <c r="J150" s="54"/>
      <c r="K150" s="54"/>
      <c r="L150" s="54"/>
      <c r="M150" s="63"/>
    </row>
    <row r="151" spans="1:13" ht="12.75">
      <c r="A151" s="54"/>
      <c r="B151" s="54" t="s">
        <v>179</v>
      </c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68"/>
    </row>
    <row r="152" spans="1:13" ht="12.75">
      <c r="A152" s="54"/>
      <c r="B152" s="54" t="s">
        <v>180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68"/>
    </row>
    <row r="153" spans="1:13" ht="12.7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68"/>
    </row>
    <row r="154" spans="1:13" ht="12.7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68"/>
    </row>
    <row r="155" spans="1:13" ht="15">
      <c r="A155" s="172" t="s">
        <v>181</v>
      </c>
      <c r="B155" s="101" t="s">
        <v>192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68"/>
    </row>
    <row r="156" spans="1:13" ht="12.7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68"/>
    </row>
    <row r="157" spans="1:13" ht="12.75">
      <c r="A157" s="54"/>
      <c r="B157" s="135" t="s">
        <v>182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68"/>
    </row>
    <row r="158" spans="1:13" ht="13.5" thickBot="1">
      <c r="A158" s="54"/>
      <c r="B158" s="135" t="s">
        <v>183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23"/>
    </row>
    <row r="159" spans="1:13" ht="12.75">
      <c r="A159" s="54"/>
      <c r="B159" s="173" t="s">
        <v>0</v>
      </c>
      <c r="C159" s="174" t="s">
        <v>19</v>
      </c>
      <c r="D159" s="175" t="s">
        <v>20</v>
      </c>
      <c r="E159" s="174" t="s">
        <v>184</v>
      </c>
      <c r="F159" s="176" t="s">
        <v>20</v>
      </c>
      <c r="G159" s="174" t="s">
        <v>22</v>
      </c>
      <c r="H159" s="177" t="s">
        <v>23</v>
      </c>
      <c r="I159" s="174" t="s">
        <v>24</v>
      </c>
      <c r="J159" s="178"/>
      <c r="K159" s="179" t="s">
        <v>185</v>
      </c>
      <c r="L159" s="180"/>
      <c r="M159" s="181"/>
    </row>
    <row r="160" spans="1:13" ht="12.75">
      <c r="A160" s="54"/>
      <c r="B160" s="182" t="s">
        <v>1</v>
      </c>
      <c r="C160" s="110" t="s">
        <v>25</v>
      </c>
      <c r="D160" s="183" t="s">
        <v>26</v>
      </c>
      <c r="E160" s="110" t="s">
        <v>25</v>
      </c>
      <c r="F160" s="79" t="s">
        <v>26</v>
      </c>
      <c r="G160" s="110" t="s">
        <v>25</v>
      </c>
      <c r="H160" s="183" t="s">
        <v>26</v>
      </c>
      <c r="I160" s="110" t="s">
        <v>25</v>
      </c>
      <c r="J160" s="183" t="s">
        <v>26</v>
      </c>
      <c r="K160" s="110" t="s">
        <v>25</v>
      </c>
      <c r="L160" s="112" t="s">
        <v>26</v>
      </c>
      <c r="M160" s="181"/>
    </row>
    <row r="161" spans="1:13" ht="12.75">
      <c r="A161" s="54"/>
      <c r="B161" s="184"/>
      <c r="C161" s="110"/>
      <c r="D161" s="68"/>
      <c r="E161" s="110"/>
      <c r="F161" s="68"/>
      <c r="G161" s="110"/>
      <c r="H161" s="68"/>
      <c r="I161" s="185"/>
      <c r="J161" s="186"/>
      <c r="K161" s="68"/>
      <c r="L161" s="64"/>
      <c r="M161" s="68"/>
    </row>
    <row r="162" spans="1:13" ht="12.75">
      <c r="A162" s="54"/>
      <c r="B162" s="62" t="s">
        <v>2</v>
      </c>
      <c r="C162" s="187">
        <f>(C121)</f>
        <v>3.0445374999999997</v>
      </c>
      <c r="D162" s="188">
        <f>(C122)</f>
        <v>9.924055555555553</v>
      </c>
      <c r="E162" s="187">
        <f>(H130)</f>
        <v>0</v>
      </c>
      <c r="F162" s="98">
        <f>(H131)</f>
        <v>0</v>
      </c>
      <c r="G162" s="189">
        <f>(F139)</f>
        <v>5.3510625</v>
      </c>
      <c r="H162" s="157">
        <f>(F140)</f>
        <v>10.702125</v>
      </c>
      <c r="I162" s="187">
        <f>(C149)</f>
        <v>1</v>
      </c>
      <c r="J162" s="98">
        <f>(C150)</f>
        <v>4</v>
      </c>
      <c r="K162" s="187">
        <f aca="true" t="shared" si="11" ref="K162:L170">(C162+E162+G162+I162)</f>
        <v>9.3956</v>
      </c>
      <c r="L162" s="158">
        <f t="shared" si="11"/>
        <v>24.626180555555553</v>
      </c>
      <c r="M162" s="68"/>
    </row>
    <row r="163" spans="1:13" ht="12.75">
      <c r="A163" s="54"/>
      <c r="B163" s="62" t="s">
        <v>3</v>
      </c>
      <c r="C163" s="187">
        <f>(B121)</f>
        <v>1.2178149999999999</v>
      </c>
      <c r="D163" s="188">
        <f>(B122)</f>
        <v>3.969622222222221</v>
      </c>
      <c r="E163" s="187">
        <f>(G130)</f>
        <v>0</v>
      </c>
      <c r="F163" s="98">
        <f>(G131)</f>
        <v>0</v>
      </c>
      <c r="G163" s="189">
        <f>(C139)</f>
        <v>2.67553125</v>
      </c>
      <c r="H163" s="190">
        <f>(C140)</f>
        <v>5.3510625</v>
      </c>
      <c r="I163" s="187"/>
      <c r="J163" s="98"/>
      <c r="K163" s="187">
        <f t="shared" si="11"/>
        <v>3.89334625</v>
      </c>
      <c r="L163" s="158">
        <f t="shared" si="11"/>
        <v>9.320684722222222</v>
      </c>
      <c r="M163" s="68"/>
    </row>
    <row r="164" spans="1:13" ht="12.75">
      <c r="A164" s="54"/>
      <c r="B164" s="62" t="s">
        <v>4</v>
      </c>
      <c r="C164" s="187">
        <f>(D121)</f>
        <v>0.30445374999999997</v>
      </c>
      <c r="D164" s="188">
        <f>(D122)</f>
        <v>0.9924055555555552</v>
      </c>
      <c r="E164" s="187">
        <f>(E130)</f>
        <v>3.2345851562499996</v>
      </c>
      <c r="F164" s="98">
        <f>(E131)</f>
        <v>9.0423046875</v>
      </c>
      <c r="G164" s="189"/>
      <c r="H164" s="190"/>
      <c r="I164" s="187"/>
      <c r="J164" s="98"/>
      <c r="K164" s="187">
        <f t="shared" si="11"/>
        <v>3.5390389062499996</v>
      </c>
      <c r="L164" s="158">
        <f t="shared" si="11"/>
        <v>10.034710243055555</v>
      </c>
      <c r="M164" s="68"/>
    </row>
    <row r="165" spans="1:13" ht="12.75">
      <c r="A165" s="54"/>
      <c r="B165" s="62" t="s">
        <v>5</v>
      </c>
      <c r="C165" s="187">
        <f>(E121)</f>
        <v>0.9133612499999999</v>
      </c>
      <c r="D165" s="188">
        <f>(E122)</f>
        <v>2.9772166666666657</v>
      </c>
      <c r="E165" s="187">
        <f>(F130)</f>
        <v>6.469170312499999</v>
      </c>
      <c r="F165" s="98">
        <f>(F131)</f>
        <v>18.084609375</v>
      </c>
      <c r="G165" s="189"/>
      <c r="H165" s="190"/>
      <c r="I165" s="187"/>
      <c r="J165" s="98"/>
      <c r="K165" s="187">
        <f t="shared" si="11"/>
        <v>7.382531562499999</v>
      </c>
      <c r="L165" s="158">
        <f t="shared" si="11"/>
        <v>21.061826041666666</v>
      </c>
      <c r="M165" s="68"/>
    </row>
    <row r="166" spans="1:13" ht="12.75">
      <c r="A166" s="54"/>
      <c r="B166" s="62" t="s">
        <v>6</v>
      </c>
      <c r="C166" s="187">
        <f>(F121)</f>
        <v>0.6089074999999999</v>
      </c>
      <c r="D166" s="188">
        <f>(F122)</f>
        <v>1.9848111111111104</v>
      </c>
      <c r="E166" s="187">
        <f>(D130)</f>
        <v>3.2345851562499996</v>
      </c>
      <c r="F166" s="98">
        <f>(D131)</f>
        <v>9.0423046875</v>
      </c>
      <c r="G166" s="189">
        <f>(E139)</f>
        <v>2.140425</v>
      </c>
      <c r="H166" s="190">
        <f>(E140)</f>
        <v>4.28085</v>
      </c>
      <c r="I166" s="187"/>
      <c r="J166" s="98"/>
      <c r="K166" s="187">
        <f t="shared" si="11"/>
        <v>5.98391765625</v>
      </c>
      <c r="L166" s="158">
        <f t="shared" si="11"/>
        <v>15.30796579861111</v>
      </c>
      <c r="M166" s="68"/>
    </row>
    <row r="167" spans="1:13" ht="12.75">
      <c r="A167" s="54"/>
      <c r="B167" s="62" t="s">
        <v>7</v>
      </c>
      <c r="C167" s="187">
        <f>(G121)</f>
        <v>0.6089074999999999</v>
      </c>
      <c r="D167" s="188">
        <f>(G122)</f>
        <v>1.9848111111111104</v>
      </c>
      <c r="E167" s="187">
        <f>(C130)</f>
        <v>1.9407510937499999</v>
      </c>
      <c r="F167" s="98">
        <f>(C131)</f>
        <v>5.4253828125</v>
      </c>
      <c r="G167" s="189"/>
      <c r="H167" s="190"/>
      <c r="I167" s="187"/>
      <c r="J167" s="98"/>
      <c r="K167" s="187">
        <f t="shared" si="11"/>
        <v>2.54965859375</v>
      </c>
      <c r="L167" s="158">
        <f t="shared" si="11"/>
        <v>7.41019392361111</v>
      </c>
      <c r="M167" s="68"/>
    </row>
    <row r="168" spans="1:13" ht="12.75">
      <c r="A168" s="54"/>
      <c r="B168" s="62" t="s">
        <v>8</v>
      </c>
      <c r="C168" s="187">
        <f>(H121)</f>
        <v>0.15222687499999998</v>
      </c>
      <c r="D168" s="188">
        <f>(H122)</f>
        <v>0.4962027777777776</v>
      </c>
      <c r="E168" s="187"/>
      <c r="F168" s="98"/>
      <c r="G168" s="189"/>
      <c r="H168" s="190"/>
      <c r="I168" s="187">
        <f>(B149)</f>
        <v>0.19999999999999998</v>
      </c>
      <c r="J168" s="98">
        <f>(B150)</f>
        <v>0.5</v>
      </c>
      <c r="K168" s="187">
        <f t="shared" si="11"/>
        <v>0.35222687499999994</v>
      </c>
      <c r="L168" s="158">
        <f t="shared" si="11"/>
        <v>0.9962027777777775</v>
      </c>
      <c r="M168" s="68"/>
    </row>
    <row r="169" spans="1:13" ht="12.75">
      <c r="A169" s="54"/>
      <c r="B169" s="62" t="s">
        <v>9</v>
      </c>
      <c r="C169" s="187">
        <f>(I121)</f>
        <v>0.45668062499999995</v>
      </c>
      <c r="D169" s="188">
        <f>(I122)</f>
        <v>1.4886083333333329</v>
      </c>
      <c r="E169" s="187"/>
      <c r="F169" s="98"/>
      <c r="G169" s="189">
        <f>(D139)</f>
        <v>1.337765625</v>
      </c>
      <c r="H169" s="190">
        <f>(D140)</f>
        <v>2.67553125</v>
      </c>
      <c r="I169" s="187"/>
      <c r="J169" s="98"/>
      <c r="K169" s="187">
        <f t="shared" si="11"/>
        <v>1.79444625</v>
      </c>
      <c r="L169" s="158">
        <f t="shared" si="11"/>
        <v>4.164139583333333</v>
      </c>
      <c r="M169" s="68"/>
    </row>
    <row r="170" spans="1:13" ht="12.75">
      <c r="A170" s="54"/>
      <c r="B170" s="62" t="s">
        <v>10</v>
      </c>
      <c r="C170" s="187"/>
      <c r="D170" s="188"/>
      <c r="E170" s="187"/>
      <c r="F170" s="98"/>
      <c r="G170" s="187"/>
      <c r="H170" s="191"/>
      <c r="I170" s="187">
        <f>(E149)</f>
        <v>0.5</v>
      </c>
      <c r="J170" s="98">
        <f>(E150)</f>
        <v>2</v>
      </c>
      <c r="K170" s="187">
        <f t="shared" si="11"/>
        <v>0.5</v>
      </c>
      <c r="L170" s="158">
        <f t="shared" si="11"/>
        <v>2</v>
      </c>
      <c r="M170" s="68"/>
    </row>
    <row r="171" spans="1:13" ht="12.75">
      <c r="A171" s="54"/>
      <c r="B171" s="62"/>
      <c r="C171" s="192"/>
      <c r="D171" s="188"/>
      <c r="E171" s="187"/>
      <c r="F171" s="98"/>
      <c r="G171" s="187"/>
      <c r="H171" s="191"/>
      <c r="I171" s="187"/>
      <c r="J171" s="98"/>
      <c r="K171" s="187"/>
      <c r="L171" s="158"/>
      <c r="M171" s="68"/>
    </row>
    <row r="172" spans="1:13" ht="13.5" thickBot="1">
      <c r="A172" s="54"/>
      <c r="B172" s="92" t="s">
        <v>11</v>
      </c>
      <c r="C172" s="193">
        <f aca="true" t="shared" si="12" ref="C172:L172">SUM(C162:C171)</f>
        <v>7.306889999999998</v>
      </c>
      <c r="D172" s="193">
        <f t="shared" si="12"/>
        <v>23.817733333333326</v>
      </c>
      <c r="E172" s="193">
        <f t="shared" si="12"/>
        <v>14.879091718749999</v>
      </c>
      <c r="F172" s="193">
        <f t="shared" si="12"/>
        <v>41.594601562499996</v>
      </c>
      <c r="G172" s="193">
        <f t="shared" si="12"/>
        <v>11.504784375</v>
      </c>
      <c r="H172" s="193">
        <f t="shared" si="12"/>
        <v>23.00956875</v>
      </c>
      <c r="I172" s="193">
        <f t="shared" si="12"/>
        <v>1.7</v>
      </c>
      <c r="J172" s="193">
        <f t="shared" si="12"/>
        <v>6.5</v>
      </c>
      <c r="K172" s="193">
        <f t="shared" si="12"/>
        <v>35.39076609375</v>
      </c>
      <c r="L172" s="194">
        <f t="shared" si="12"/>
        <v>94.92190364583332</v>
      </c>
      <c r="M172" s="123"/>
    </row>
    <row r="173" spans="1:13" ht="12.7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68"/>
    </row>
    <row r="174" spans="1:13" ht="13.5" thickBot="1">
      <c r="A174" s="54"/>
      <c r="B174" s="135" t="s">
        <v>186</v>
      </c>
      <c r="C174" s="102"/>
      <c r="D174" s="102"/>
      <c r="E174" s="102"/>
      <c r="F174" s="102"/>
      <c r="G174" s="102"/>
      <c r="H174" s="102"/>
      <c r="I174" s="54"/>
      <c r="J174" s="54"/>
      <c r="K174" s="54"/>
      <c r="L174" s="54"/>
      <c r="M174" s="54"/>
    </row>
    <row r="175" spans="1:13" ht="12.75">
      <c r="A175" s="54"/>
      <c r="B175" s="173" t="s">
        <v>0</v>
      </c>
      <c r="C175" s="195" t="s">
        <v>187</v>
      </c>
      <c r="D175" s="196"/>
      <c r="E175" s="197" t="s">
        <v>184</v>
      </c>
      <c r="F175" s="198" t="s">
        <v>20</v>
      </c>
      <c r="G175" s="197" t="s">
        <v>22</v>
      </c>
      <c r="H175" s="199" t="s">
        <v>23</v>
      </c>
      <c r="I175" s="54"/>
      <c r="J175" s="54"/>
      <c r="K175" s="54"/>
      <c r="L175" s="54"/>
      <c r="M175" s="54"/>
    </row>
    <row r="176" spans="1:13" ht="12.75">
      <c r="A176" s="54"/>
      <c r="B176" s="182" t="s">
        <v>1</v>
      </c>
      <c r="C176" s="110" t="s">
        <v>25</v>
      </c>
      <c r="D176" s="183" t="s">
        <v>26</v>
      </c>
      <c r="E176" s="110" t="s">
        <v>25</v>
      </c>
      <c r="F176" s="183" t="s">
        <v>26</v>
      </c>
      <c r="G176" s="110" t="s">
        <v>25</v>
      </c>
      <c r="H176" s="112" t="s">
        <v>26</v>
      </c>
      <c r="I176" s="54"/>
      <c r="J176" s="54"/>
      <c r="K176" s="54"/>
      <c r="L176" s="54"/>
      <c r="M176" s="54"/>
    </row>
    <row r="177" spans="1:13" ht="12.75">
      <c r="A177" s="54"/>
      <c r="B177" s="62"/>
      <c r="C177" s="110"/>
      <c r="D177" s="183"/>
      <c r="E177" s="110"/>
      <c r="F177" s="186"/>
      <c r="G177" s="185"/>
      <c r="H177" s="64"/>
      <c r="I177" s="54"/>
      <c r="J177" s="54"/>
      <c r="K177" s="54"/>
      <c r="L177" s="54"/>
      <c r="M177" s="54"/>
    </row>
    <row r="178" spans="1:13" ht="12.75">
      <c r="A178" s="54"/>
      <c r="B178" s="200" t="s">
        <v>2</v>
      </c>
      <c r="C178" s="201">
        <f>(C162/C106)</f>
        <v>0.03259259259259259</v>
      </c>
      <c r="D178" s="202">
        <f>(D162/C107)</f>
        <v>0.03259259259259259</v>
      </c>
      <c r="E178" s="201">
        <f>(E162/B130)</f>
        <v>0</v>
      </c>
      <c r="F178" s="202">
        <f>(F162/B131)</f>
        <v>0</v>
      </c>
      <c r="G178" s="201">
        <f>(G162/B139)</f>
        <v>0.05</v>
      </c>
      <c r="H178" s="203">
        <f>(H162/B140)</f>
        <v>0.05</v>
      </c>
      <c r="I178" s="54"/>
      <c r="J178" s="54"/>
      <c r="K178" s="54"/>
      <c r="L178" s="54"/>
      <c r="M178" s="54"/>
    </row>
    <row r="179" spans="1:13" ht="12.75">
      <c r="A179" s="54"/>
      <c r="B179" s="62" t="s">
        <v>3</v>
      </c>
      <c r="C179" s="201">
        <f>(C163/C106)</f>
        <v>0.013037037037037036</v>
      </c>
      <c r="D179" s="202">
        <f>(D163/C107)</f>
        <v>0.013037037037037036</v>
      </c>
      <c r="E179" s="201">
        <f>(E163/B130)</f>
        <v>0</v>
      </c>
      <c r="F179" s="202">
        <f>(F163/B131)</f>
        <v>0</v>
      </c>
      <c r="G179" s="201">
        <f>(G163/B139)</f>
        <v>0.025</v>
      </c>
      <c r="H179" s="203">
        <f>(H163/B140)</f>
        <v>0.025</v>
      </c>
      <c r="I179" s="54"/>
      <c r="J179" s="54"/>
      <c r="K179" s="54"/>
      <c r="L179" s="54"/>
      <c r="M179" s="54"/>
    </row>
    <row r="180" spans="1:13" ht="12.75">
      <c r="A180" s="54"/>
      <c r="B180" s="62" t="s">
        <v>4</v>
      </c>
      <c r="C180" s="201">
        <f>(C164/C106)</f>
        <v>0.003259259259259259</v>
      </c>
      <c r="D180" s="202">
        <f>(D164/C107)</f>
        <v>0.003259259259259259</v>
      </c>
      <c r="E180" s="201">
        <f>(E164/B130)</f>
        <v>0.016666666666666666</v>
      </c>
      <c r="F180" s="202">
        <f>(F164/B131)</f>
        <v>0.016666666666666666</v>
      </c>
      <c r="G180" s="201"/>
      <c r="H180" s="203"/>
      <c r="I180" s="54"/>
      <c r="J180" s="54"/>
      <c r="K180" s="54"/>
      <c r="L180" s="54"/>
      <c r="M180" s="54"/>
    </row>
    <row r="181" spans="1:13" ht="12.75">
      <c r="A181" s="54"/>
      <c r="B181" s="62" t="s">
        <v>5</v>
      </c>
      <c r="C181" s="201">
        <f>(C165/C106)</f>
        <v>0.009777777777777778</v>
      </c>
      <c r="D181" s="202">
        <f>(D165/C107)</f>
        <v>0.009777777777777778</v>
      </c>
      <c r="E181" s="201">
        <f>(E165/B130)</f>
        <v>0.03333333333333333</v>
      </c>
      <c r="F181" s="202">
        <f>(F165/B131)</f>
        <v>0.03333333333333333</v>
      </c>
      <c r="G181" s="201"/>
      <c r="H181" s="203"/>
      <c r="I181" s="54"/>
      <c r="J181" s="54"/>
      <c r="K181" s="54"/>
      <c r="L181" s="54"/>
      <c r="M181" s="54"/>
    </row>
    <row r="182" spans="1:13" ht="12.75">
      <c r="A182" s="54"/>
      <c r="B182" s="62" t="s">
        <v>6</v>
      </c>
      <c r="C182" s="201">
        <f>(C166/C106)</f>
        <v>0.006518518518518518</v>
      </c>
      <c r="D182" s="202">
        <f>(D166/C107)</f>
        <v>0.006518518518518518</v>
      </c>
      <c r="E182" s="201">
        <f>(E166/B130)</f>
        <v>0.016666666666666666</v>
      </c>
      <c r="F182" s="202">
        <f>(F166/B131)</f>
        <v>0.016666666666666666</v>
      </c>
      <c r="G182" s="201">
        <f>(G166/B139)</f>
        <v>0.02</v>
      </c>
      <c r="H182" s="203">
        <f>(H166/B140)</f>
        <v>0.02</v>
      </c>
      <c r="I182" s="54"/>
      <c r="J182" s="54"/>
      <c r="K182" s="54"/>
      <c r="L182" s="54"/>
      <c r="M182" s="54"/>
    </row>
    <row r="183" spans="1:13" ht="12.75">
      <c r="A183" s="54"/>
      <c r="B183" s="62" t="s">
        <v>7</v>
      </c>
      <c r="C183" s="201">
        <f>(C167/C106)</f>
        <v>0.006518518518518518</v>
      </c>
      <c r="D183" s="202">
        <f>(D167/C107)</f>
        <v>0.006518518518518518</v>
      </c>
      <c r="E183" s="201">
        <f>(E167/B130)</f>
        <v>0.01</v>
      </c>
      <c r="F183" s="202">
        <f>(F167/B131)</f>
        <v>0.01</v>
      </c>
      <c r="G183" s="201"/>
      <c r="H183" s="203"/>
      <c r="I183" s="54"/>
      <c r="J183" s="54"/>
      <c r="K183" s="54"/>
      <c r="L183" s="54"/>
      <c r="M183" s="54"/>
    </row>
    <row r="184" spans="1:13" ht="12.75">
      <c r="A184" s="54"/>
      <c r="B184" s="62" t="s">
        <v>8</v>
      </c>
      <c r="C184" s="201">
        <f>(C168/C106)</f>
        <v>0.0016296296296296295</v>
      </c>
      <c r="D184" s="202">
        <f>(D168/C107)</f>
        <v>0.0016296296296296295</v>
      </c>
      <c r="E184" s="201"/>
      <c r="F184" s="204"/>
      <c r="G184" s="201"/>
      <c r="H184" s="203"/>
      <c r="I184" s="54"/>
      <c r="J184" s="54"/>
      <c r="K184" s="54"/>
      <c r="L184" s="54"/>
      <c r="M184" s="54"/>
    </row>
    <row r="185" spans="1:13" ht="12.75">
      <c r="A185" s="54"/>
      <c r="B185" s="62" t="s">
        <v>9</v>
      </c>
      <c r="C185" s="201">
        <f>(C169/C106)</f>
        <v>0.004888888888888889</v>
      </c>
      <c r="D185" s="202">
        <f>(D169/C107)</f>
        <v>0.004888888888888889</v>
      </c>
      <c r="E185" s="201"/>
      <c r="F185" s="204"/>
      <c r="G185" s="201">
        <f>(G169/B139)</f>
        <v>0.0125</v>
      </c>
      <c r="H185" s="203">
        <f>(H169/B140)</f>
        <v>0.0125</v>
      </c>
      <c r="I185" s="54"/>
      <c r="J185" s="54"/>
      <c r="K185" s="54"/>
      <c r="L185" s="54"/>
      <c r="M185" s="54"/>
    </row>
    <row r="186" spans="1:13" ht="13.5" thickBot="1">
      <c r="A186" s="54"/>
      <c r="B186" s="92" t="s">
        <v>11</v>
      </c>
      <c r="C186" s="205">
        <f aca="true" t="shared" si="13" ref="C186:H186">SUM(C178:C185)</f>
        <v>0.07822222222222222</v>
      </c>
      <c r="D186" s="206">
        <f t="shared" si="13"/>
        <v>0.07822222222222222</v>
      </c>
      <c r="E186" s="205">
        <f t="shared" si="13"/>
        <v>0.07666666666666666</v>
      </c>
      <c r="F186" s="207">
        <f t="shared" si="13"/>
        <v>0.07666666666666666</v>
      </c>
      <c r="G186" s="205">
        <f t="shared" si="13"/>
        <v>0.10750000000000001</v>
      </c>
      <c r="H186" s="208">
        <f t="shared" si="13"/>
        <v>0.10750000000000001</v>
      </c>
      <c r="I186" s="54"/>
      <c r="J186" s="54"/>
      <c r="K186" s="54"/>
      <c r="L186" s="54"/>
      <c r="M186" s="54"/>
    </row>
    <row r="187" spans="1:13" ht="12.7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</row>
    <row r="188" spans="1:13" ht="13.5" thickBot="1">
      <c r="A188" s="54"/>
      <c r="B188" s="135" t="s">
        <v>188</v>
      </c>
      <c r="C188" s="135"/>
      <c r="D188" s="135"/>
      <c r="E188" s="135"/>
      <c r="F188" s="135"/>
      <c r="G188" s="135"/>
      <c r="H188" s="103"/>
      <c r="I188" s="54"/>
      <c r="J188" s="54"/>
      <c r="K188" s="54"/>
      <c r="L188" s="54"/>
      <c r="M188" s="54"/>
    </row>
    <row r="189" spans="1:13" ht="12.75">
      <c r="A189" s="54"/>
      <c r="B189" s="209" t="s">
        <v>36</v>
      </c>
      <c r="C189" s="210"/>
      <c r="D189" s="163"/>
      <c r="E189" s="140"/>
      <c r="F189" s="211" t="s">
        <v>21</v>
      </c>
      <c r="G189" s="212"/>
      <c r="H189" s="141"/>
      <c r="I189" s="54"/>
      <c r="J189" s="54"/>
      <c r="K189" s="54"/>
      <c r="L189" s="54"/>
      <c r="M189" s="54"/>
    </row>
    <row r="190" spans="1:13" ht="12.75">
      <c r="A190" s="54"/>
      <c r="B190" s="213" t="s">
        <v>189</v>
      </c>
      <c r="C190" s="214"/>
      <c r="D190" s="215" t="s">
        <v>87</v>
      </c>
      <c r="E190" s="214"/>
      <c r="F190" s="181" t="s">
        <v>190</v>
      </c>
      <c r="G190" s="112"/>
      <c r="H190" s="141"/>
      <c r="I190" s="54"/>
      <c r="J190" s="54"/>
      <c r="K190" s="54"/>
      <c r="L190" s="54"/>
      <c r="M190" s="54"/>
    </row>
    <row r="191" spans="1:13" ht="12.75">
      <c r="A191" s="54"/>
      <c r="B191" s="143" t="s">
        <v>25</v>
      </c>
      <c r="C191" s="183" t="s">
        <v>26</v>
      </c>
      <c r="D191" s="110" t="s">
        <v>25</v>
      </c>
      <c r="E191" s="183" t="s">
        <v>26</v>
      </c>
      <c r="F191" s="79" t="s">
        <v>25</v>
      </c>
      <c r="G191" s="112" t="s">
        <v>26</v>
      </c>
      <c r="H191" s="141"/>
      <c r="I191" s="54"/>
      <c r="J191" s="54"/>
      <c r="K191" s="54"/>
      <c r="L191" s="54"/>
      <c r="M191" s="54"/>
    </row>
    <row r="192" spans="1:13" ht="13.5" thickBot="1">
      <c r="A192" s="54"/>
      <c r="B192" s="146">
        <f>(C106)</f>
        <v>93.41194602272726</v>
      </c>
      <c r="C192" s="216">
        <f>(C107)</f>
        <v>304.4880681818181</v>
      </c>
      <c r="D192" s="217">
        <f>(B106)</f>
        <v>24660.753749999996</v>
      </c>
      <c r="E192" s="216">
        <f>(B107)</f>
        <v>80384.84999999998</v>
      </c>
      <c r="F192" s="149">
        <f>(B130)</f>
        <v>194.07510937499998</v>
      </c>
      <c r="G192" s="147">
        <f>(B131)</f>
        <v>542.53828125</v>
      </c>
      <c r="H192" s="54"/>
      <c r="I192" s="54"/>
      <c r="J192" s="54"/>
      <c r="K192" s="54"/>
      <c r="L192" s="54"/>
      <c r="M192" s="54"/>
    </row>
    <row r="193" spans="1:13" ht="12.7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</row>
    <row r="194" spans="1:13" ht="13.5" thickBot="1">
      <c r="A194" s="54"/>
      <c r="B194" s="135" t="s">
        <v>191</v>
      </c>
      <c r="C194" s="135"/>
      <c r="D194" s="135"/>
      <c r="E194" s="135"/>
      <c r="F194" s="135"/>
      <c r="G194" s="135"/>
      <c r="H194" s="54"/>
      <c r="I194" s="54"/>
      <c r="J194" s="54"/>
      <c r="K194" s="54"/>
      <c r="L194" s="54"/>
      <c r="M194" s="54"/>
    </row>
    <row r="195" spans="1:13" ht="12.75">
      <c r="A195" s="54"/>
      <c r="B195" s="218" t="s">
        <v>36</v>
      </c>
      <c r="C195" s="196"/>
      <c r="D195" s="197" t="s">
        <v>184</v>
      </c>
      <c r="E195" s="219" t="s">
        <v>20</v>
      </c>
      <c r="F195" s="197" t="s">
        <v>22</v>
      </c>
      <c r="G195" s="199" t="s">
        <v>23</v>
      </c>
      <c r="H195" s="54"/>
      <c r="I195" s="54"/>
      <c r="J195" s="54"/>
      <c r="K195" s="54"/>
      <c r="L195" s="54"/>
      <c r="M195" s="54"/>
    </row>
    <row r="196" spans="1:13" ht="12.75">
      <c r="A196" s="54"/>
      <c r="B196" s="143" t="s">
        <v>25</v>
      </c>
      <c r="C196" s="183" t="s">
        <v>26</v>
      </c>
      <c r="D196" s="110" t="s">
        <v>25</v>
      </c>
      <c r="E196" s="79" t="s">
        <v>26</v>
      </c>
      <c r="F196" s="110" t="s">
        <v>25</v>
      </c>
      <c r="G196" s="112" t="s">
        <v>26</v>
      </c>
      <c r="H196" s="54"/>
      <c r="I196" s="54"/>
      <c r="J196" s="54"/>
      <c r="K196" s="54"/>
      <c r="L196" s="54"/>
      <c r="M196" s="54"/>
    </row>
    <row r="197" spans="1:13" ht="12.75">
      <c r="A197" s="54"/>
      <c r="B197" s="143"/>
      <c r="C197" s="68"/>
      <c r="D197" s="110"/>
      <c r="E197" s="68"/>
      <c r="F197" s="110"/>
      <c r="G197" s="64"/>
      <c r="H197" s="54"/>
      <c r="I197" s="54"/>
      <c r="J197" s="54"/>
      <c r="K197" s="54"/>
      <c r="L197" s="54"/>
      <c r="M197" s="54"/>
    </row>
    <row r="198" spans="1:13" ht="13.5" thickBot="1">
      <c r="A198" s="54"/>
      <c r="B198" s="220">
        <f aca="true" t="shared" si="14" ref="B198:G198">((C163+C164+C165+C166+C167+C168+C169)/C172)</f>
        <v>0.5833333333333334</v>
      </c>
      <c r="C198" s="220">
        <f t="shared" si="14"/>
        <v>0.5833333333333334</v>
      </c>
      <c r="D198" s="220">
        <f t="shared" si="14"/>
        <v>1</v>
      </c>
      <c r="E198" s="220">
        <f t="shared" si="14"/>
        <v>1</v>
      </c>
      <c r="F198" s="220">
        <f t="shared" si="14"/>
        <v>0.5348837209302326</v>
      </c>
      <c r="G198" s="221">
        <f t="shared" si="14"/>
        <v>0.5348837209302326</v>
      </c>
      <c r="H198" s="54"/>
      <c r="I198" s="54"/>
      <c r="J198" s="54"/>
      <c r="K198" s="54"/>
      <c r="L198" s="54"/>
      <c r="M198" s="54"/>
    </row>
    <row r="199" spans="1:13" ht="12.75">
      <c r="A199" s="54"/>
      <c r="B199" s="100"/>
      <c r="C199" s="100"/>
      <c r="D199" s="100"/>
      <c r="E199" s="100"/>
      <c r="F199" s="114"/>
      <c r="G199" s="114"/>
      <c r="H199" s="54"/>
      <c r="I199" s="54"/>
      <c r="J199" s="54"/>
      <c r="K199" s="54"/>
      <c r="L199" s="54"/>
      <c r="M199" s="54"/>
    </row>
    <row r="200" spans="1:13" ht="12.75">
      <c r="A200" s="54"/>
      <c r="B200" s="100"/>
      <c r="C200" s="100"/>
      <c r="D200" s="100"/>
      <c r="E200" s="100"/>
      <c r="F200" s="114"/>
      <c r="G200" s="114"/>
      <c r="H200" s="54"/>
      <c r="I200" s="54"/>
      <c r="J200" s="54"/>
      <c r="K200" s="54"/>
      <c r="L200" s="54"/>
      <c r="M200" s="54"/>
    </row>
    <row r="201" spans="1:13" ht="12.75">
      <c r="A201" s="54"/>
      <c r="B201" s="100"/>
      <c r="C201" s="100"/>
      <c r="D201" s="100"/>
      <c r="E201" s="100"/>
      <c r="F201" s="114"/>
      <c r="G201" s="114"/>
      <c r="H201" s="54"/>
      <c r="I201" s="54"/>
      <c r="J201" s="54"/>
      <c r="K201" s="54"/>
      <c r="L201" s="54"/>
      <c r="M201" s="54"/>
    </row>
    <row r="202" spans="1:13" ht="12.75">
      <c r="A202" s="54"/>
      <c r="B202" s="100"/>
      <c r="C202" s="100"/>
      <c r="D202" s="100"/>
      <c r="E202" s="100"/>
      <c r="F202" s="114"/>
      <c r="G202" s="114"/>
      <c r="H202" s="54"/>
      <c r="I202" s="54"/>
      <c r="J202" s="54"/>
      <c r="K202" s="54"/>
      <c r="L202" s="54"/>
      <c r="M202" s="54"/>
    </row>
    <row r="203" spans="1:13" ht="12.75">
      <c r="A203" s="54"/>
      <c r="B203" s="100"/>
      <c r="C203" s="100"/>
      <c r="D203" s="100"/>
      <c r="E203" s="100"/>
      <c r="F203" s="114"/>
      <c r="G203" s="114"/>
      <c r="H203" s="54"/>
      <c r="I203" s="54"/>
      <c r="J203" s="54"/>
      <c r="K203" s="54"/>
      <c r="L203" s="54"/>
      <c r="M203" s="54"/>
    </row>
  </sheetData>
  <mergeCells count="3">
    <mergeCell ref="C175:D175"/>
    <mergeCell ref="B189:C189"/>
    <mergeCell ref="B195:C19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B12" sqref="B12"/>
    </sheetView>
  </sheetViews>
  <sheetFormatPr defaultColWidth="9.140625" defaultRowHeight="12.75"/>
  <cols>
    <col min="1" max="1" width="28.00390625" style="20" customWidth="1"/>
    <col min="2" max="2" width="16.00390625" style="20" customWidth="1"/>
    <col min="3" max="3" width="9.140625" style="20" customWidth="1"/>
    <col min="4" max="4" width="17.140625" style="20" customWidth="1"/>
    <col min="5" max="5" width="12.00390625" style="20" customWidth="1"/>
    <col min="6" max="7" width="9.140625" style="20" customWidth="1"/>
    <col min="8" max="8" width="11.8515625" style="20" customWidth="1"/>
    <col min="9" max="9" width="9.140625" style="20" customWidth="1"/>
    <col min="10" max="10" width="12.57421875" style="20" customWidth="1"/>
    <col min="11" max="11" width="13.421875" style="20" customWidth="1"/>
    <col min="12" max="16384" width="9.140625" style="20" customWidth="1"/>
  </cols>
  <sheetData>
    <row r="1" ht="16.5">
      <c r="A1" s="26" t="s">
        <v>30</v>
      </c>
    </row>
    <row r="2" ht="15.75">
      <c r="B2" s="21"/>
    </row>
    <row r="3" spans="1:10" ht="16.5">
      <c r="A3" s="26" t="s">
        <v>27</v>
      </c>
      <c r="B3" s="26" t="s">
        <v>28</v>
      </c>
      <c r="C3" s="26"/>
      <c r="D3" s="26" t="s">
        <v>15</v>
      </c>
      <c r="E3" s="26" t="s">
        <v>16</v>
      </c>
      <c r="F3" s="26" t="s">
        <v>17</v>
      </c>
      <c r="G3" s="26"/>
      <c r="H3" s="26" t="s">
        <v>29</v>
      </c>
      <c r="I3" s="26"/>
      <c r="J3" s="26" t="s">
        <v>18</v>
      </c>
    </row>
    <row r="4" spans="1:10" ht="15.75">
      <c r="A4" s="20" t="s">
        <v>2</v>
      </c>
      <c r="B4" s="25">
        <v>67887</v>
      </c>
      <c r="D4" s="22">
        <v>0.08</v>
      </c>
      <c r="E4" s="20">
        <v>0</v>
      </c>
      <c r="F4" s="23">
        <v>0.297</v>
      </c>
      <c r="H4" s="22">
        <v>0.1</v>
      </c>
      <c r="J4" s="24">
        <f>(1+F4+E4+H4*D4)*B4</f>
        <v>88592.53499999999</v>
      </c>
    </row>
    <row r="5" spans="1:10" ht="15.75">
      <c r="A5" s="20" t="s">
        <v>3</v>
      </c>
      <c r="B5" s="25">
        <v>105018</v>
      </c>
      <c r="D5" s="22">
        <v>0.08</v>
      </c>
      <c r="E5" s="22">
        <v>0.1</v>
      </c>
      <c r="F5" s="23">
        <v>0.297</v>
      </c>
      <c r="H5" s="22">
        <v>0.1</v>
      </c>
      <c r="J5" s="24">
        <f aca="true" t="shared" si="0" ref="J5:J12">(1+F5+E5+H5*D5)*B5</f>
        <v>147550.29</v>
      </c>
    </row>
    <row r="6" spans="1:10" ht="15.75">
      <c r="A6" s="20" t="s">
        <v>12</v>
      </c>
      <c r="B6" s="25">
        <v>105018</v>
      </c>
      <c r="D6" s="22">
        <v>0.08</v>
      </c>
      <c r="E6" s="22">
        <v>0.1</v>
      </c>
      <c r="F6" s="23">
        <v>0.297</v>
      </c>
      <c r="H6" s="22">
        <v>0.1</v>
      </c>
      <c r="J6" s="24">
        <f t="shared" si="0"/>
        <v>147550.29</v>
      </c>
    </row>
    <row r="7" spans="1:10" ht="15.75">
      <c r="A7" s="20" t="s">
        <v>13</v>
      </c>
      <c r="B7" s="25">
        <v>60000</v>
      </c>
      <c r="D7" s="20">
        <v>0</v>
      </c>
      <c r="E7" s="20">
        <v>0</v>
      </c>
      <c r="F7" s="23">
        <v>0.297</v>
      </c>
      <c r="H7" s="22">
        <v>0.1</v>
      </c>
      <c r="J7" s="24">
        <f t="shared" si="0"/>
        <v>77820</v>
      </c>
    </row>
    <row r="8" spans="1:10" ht="15.75">
      <c r="A8" s="20" t="s">
        <v>6</v>
      </c>
      <c r="B8" s="25">
        <v>120000</v>
      </c>
      <c r="D8" s="20">
        <v>0</v>
      </c>
      <c r="E8" s="20">
        <v>0</v>
      </c>
      <c r="F8" s="23">
        <v>0.297</v>
      </c>
      <c r="H8" s="22">
        <v>0.1</v>
      </c>
      <c r="J8" s="24">
        <f t="shared" si="0"/>
        <v>155640</v>
      </c>
    </row>
    <row r="9" spans="1:10" ht="15.75">
      <c r="A9" s="20" t="s">
        <v>7</v>
      </c>
      <c r="B9" s="25">
        <v>120000</v>
      </c>
      <c r="D9" s="20">
        <v>0</v>
      </c>
      <c r="E9" s="22">
        <v>0.1</v>
      </c>
      <c r="F9" s="23">
        <v>0.297</v>
      </c>
      <c r="H9" s="22">
        <v>0.1</v>
      </c>
      <c r="J9" s="24">
        <f t="shared" si="0"/>
        <v>167640</v>
      </c>
    </row>
    <row r="10" spans="1:10" ht="15.75">
      <c r="A10" s="20" t="s">
        <v>8</v>
      </c>
      <c r="B10" s="25">
        <v>212886</v>
      </c>
      <c r="D10" s="22">
        <v>0.18</v>
      </c>
      <c r="E10" s="22">
        <v>0.15</v>
      </c>
      <c r="F10" s="23">
        <v>0.297</v>
      </c>
      <c r="H10" s="22">
        <v>0.1</v>
      </c>
      <c r="J10" s="24">
        <f t="shared" si="0"/>
        <v>311877.99</v>
      </c>
    </row>
    <row r="11" spans="1:10" ht="15.75">
      <c r="A11" s="20" t="s">
        <v>14</v>
      </c>
      <c r="B11" s="25">
        <v>212886</v>
      </c>
      <c r="D11" s="22">
        <v>0.18</v>
      </c>
      <c r="E11" s="22">
        <v>0.15</v>
      </c>
      <c r="F11" s="23">
        <v>0.297</v>
      </c>
      <c r="H11" s="22">
        <v>0.1</v>
      </c>
      <c r="J11" s="24">
        <f t="shared" si="0"/>
        <v>311877.99</v>
      </c>
    </row>
    <row r="12" spans="1:10" ht="15.75">
      <c r="A12" s="20" t="s">
        <v>10</v>
      </c>
      <c r="B12" s="25">
        <v>156000</v>
      </c>
      <c r="D12" s="20">
        <v>0</v>
      </c>
      <c r="E12" s="20">
        <v>0</v>
      </c>
      <c r="F12" s="23">
        <v>0.297</v>
      </c>
      <c r="H12" s="22">
        <v>0.1</v>
      </c>
      <c r="J12" s="24">
        <f t="shared" si="0"/>
        <v>202332</v>
      </c>
    </row>
    <row r="13" spans="1:2" ht="15.75">
      <c r="A13" s="20" t="s">
        <v>11</v>
      </c>
      <c r="B13" s="21"/>
    </row>
    <row r="14" spans="6:8" ht="15.75">
      <c r="F14" s="24"/>
      <c r="G14" s="24"/>
      <c r="H14" s="2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79"/>
  <sheetViews>
    <sheetView zoomScale="75" zoomScaleNormal="75" workbookViewId="0" topLeftCell="A7">
      <selection activeCell="B37" sqref="B37"/>
    </sheetView>
  </sheetViews>
  <sheetFormatPr defaultColWidth="9.140625" defaultRowHeight="12.75"/>
  <cols>
    <col min="1" max="1" width="15.00390625" style="7" customWidth="1"/>
    <col min="2" max="11" width="13.8515625" style="7" customWidth="1"/>
    <col min="12" max="16384" width="9.140625" style="7" customWidth="1"/>
  </cols>
  <sheetData>
    <row r="2" s="18" customFormat="1" ht="13.5" thickBot="1">
      <c r="A2" s="19" t="s">
        <v>31</v>
      </c>
    </row>
    <row r="3" spans="1:11" ht="17.25" thickTop="1">
      <c r="A3" s="6" t="s">
        <v>0</v>
      </c>
      <c r="B3" s="47" t="s">
        <v>19</v>
      </c>
      <c r="C3" s="47"/>
      <c r="D3" s="47" t="s">
        <v>21</v>
      </c>
      <c r="E3" s="47"/>
      <c r="F3" s="47" t="s">
        <v>22</v>
      </c>
      <c r="G3" s="47"/>
      <c r="H3" s="47"/>
      <c r="I3" s="47"/>
      <c r="J3" s="47" t="s">
        <v>11</v>
      </c>
      <c r="K3" s="47"/>
    </row>
    <row r="4" spans="1:11" ht="16.5">
      <c r="A4" s="8" t="s">
        <v>1</v>
      </c>
      <c r="B4" s="48" t="s">
        <v>20</v>
      </c>
      <c r="C4" s="48"/>
      <c r="D4" s="49"/>
      <c r="E4" s="49"/>
      <c r="F4" s="48" t="s">
        <v>23</v>
      </c>
      <c r="G4" s="48"/>
      <c r="H4" s="48" t="s">
        <v>24</v>
      </c>
      <c r="I4" s="48"/>
      <c r="J4" s="49"/>
      <c r="K4" s="49"/>
    </row>
    <row r="5" spans="1:11" ht="17.25" thickBot="1">
      <c r="A5" s="5"/>
      <c r="B5" s="9" t="s">
        <v>25</v>
      </c>
      <c r="C5" s="9" t="s">
        <v>26</v>
      </c>
      <c r="D5" s="9" t="s">
        <v>25</v>
      </c>
      <c r="E5" s="9" t="s">
        <v>26</v>
      </c>
      <c r="F5" s="9" t="s">
        <v>25</v>
      </c>
      <c r="G5" s="9" t="s">
        <v>26</v>
      </c>
      <c r="H5" s="9" t="s">
        <v>25</v>
      </c>
      <c r="I5" s="9" t="s">
        <v>26</v>
      </c>
      <c r="J5" s="9" t="s">
        <v>25</v>
      </c>
      <c r="K5" s="9" t="s">
        <v>26</v>
      </c>
    </row>
    <row r="6" spans="1:11" ht="15.75">
      <c r="A6" s="10" t="s">
        <v>2</v>
      </c>
      <c r="B6" s="11">
        <v>3</v>
      </c>
      <c r="C6" s="11">
        <v>9.9</v>
      </c>
      <c r="D6" s="11"/>
      <c r="E6" s="11"/>
      <c r="F6" s="11">
        <v>5.4</v>
      </c>
      <c r="G6" s="11">
        <v>10.7</v>
      </c>
      <c r="H6" s="11">
        <v>1</v>
      </c>
      <c r="I6" s="11">
        <v>4</v>
      </c>
      <c r="J6" s="12">
        <f>H6+F6+D6+B6</f>
        <v>9.4</v>
      </c>
      <c r="K6" s="11">
        <f>I6+G6+E6+C6</f>
        <v>24.6</v>
      </c>
    </row>
    <row r="7" spans="1:11" ht="15.75">
      <c r="A7" s="10" t="s">
        <v>3</v>
      </c>
      <c r="B7" s="11">
        <v>1.2</v>
      </c>
      <c r="C7" s="11">
        <v>4</v>
      </c>
      <c r="D7" s="11"/>
      <c r="E7" s="11"/>
      <c r="F7" s="11">
        <v>2.7</v>
      </c>
      <c r="G7" s="11">
        <v>5.4</v>
      </c>
      <c r="H7" s="11"/>
      <c r="I7" s="11"/>
      <c r="J7" s="13">
        <f>H7+F7+D7+B7</f>
        <v>3.9000000000000004</v>
      </c>
      <c r="K7" s="11">
        <f>I7+G7+E7+C7</f>
        <v>9.4</v>
      </c>
    </row>
    <row r="8" spans="1:11" ht="15.75">
      <c r="A8" s="10" t="s">
        <v>4</v>
      </c>
      <c r="B8" s="11">
        <v>0.3</v>
      </c>
      <c r="C8" s="11">
        <v>1</v>
      </c>
      <c r="D8" s="11">
        <v>3.2</v>
      </c>
      <c r="E8" s="11">
        <v>9</v>
      </c>
      <c r="F8" s="11"/>
      <c r="G8" s="11"/>
      <c r="H8" s="11"/>
      <c r="I8" s="11"/>
      <c r="J8" s="13">
        <f aca="true" t="shared" si="0" ref="J8:J14">H8+F8+D8+B8</f>
        <v>3.5</v>
      </c>
      <c r="K8" s="11">
        <f aca="true" t="shared" si="1" ref="K8:K14">I8+G8+E8+C8</f>
        <v>10</v>
      </c>
    </row>
    <row r="9" spans="1:11" ht="15.75">
      <c r="A9" s="10" t="s">
        <v>5</v>
      </c>
      <c r="B9" s="11">
        <v>0.9</v>
      </c>
      <c r="C9" s="11">
        <v>3</v>
      </c>
      <c r="D9" s="11">
        <v>6.5</v>
      </c>
      <c r="E9" s="11">
        <v>18.1</v>
      </c>
      <c r="F9" s="11"/>
      <c r="G9" s="11"/>
      <c r="H9" s="11"/>
      <c r="I9" s="11"/>
      <c r="J9" s="13">
        <f t="shared" si="0"/>
        <v>7.4</v>
      </c>
      <c r="K9" s="11">
        <f t="shared" si="1"/>
        <v>21.1</v>
      </c>
    </row>
    <row r="10" spans="1:11" ht="15.75">
      <c r="A10" s="10" t="s">
        <v>6</v>
      </c>
      <c r="B10" s="11">
        <v>0.6</v>
      </c>
      <c r="C10" s="11">
        <v>2</v>
      </c>
      <c r="D10" s="11">
        <v>3.2</v>
      </c>
      <c r="E10" s="11">
        <v>9</v>
      </c>
      <c r="F10" s="11">
        <v>2.1</v>
      </c>
      <c r="G10" s="11">
        <v>4.3</v>
      </c>
      <c r="H10" s="11"/>
      <c r="I10" s="11"/>
      <c r="J10" s="13">
        <f t="shared" si="0"/>
        <v>5.9</v>
      </c>
      <c r="K10" s="11">
        <f t="shared" si="1"/>
        <v>15.3</v>
      </c>
    </row>
    <row r="11" spans="1:11" ht="15.75">
      <c r="A11" s="10" t="s">
        <v>7</v>
      </c>
      <c r="B11" s="11">
        <v>0.6</v>
      </c>
      <c r="C11" s="11">
        <v>2</v>
      </c>
      <c r="D11" s="11">
        <v>1.9</v>
      </c>
      <c r="E11" s="11">
        <v>5.4</v>
      </c>
      <c r="F11" s="11"/>
      <c r="G11" s="11"/>
      <c r="H11" s="11"/>
      <c r="I11" s="11"/>
      <c r="J11" s="13">
        <f t="shared" si="0"/>
        <v>2.5</v>
      </c>
      <c r="K11" s="11">
        <f t="shared" si="1"/>
        <v>7.4</v>
      </c>
    </row>
    <row r="12" spans="1:11" ht="15.75">
      <c r="A12" s="10" t="s">
        <v>8</v>
      </c>
      <c r="B12" s="11">
        <v>0.2</v>
      </c>
      <c r="C12" s="11">
        <v>0.5</v>
      </c>
      <c r="D12" s="11"/>
      <c r="E12" s="11"/>
      <c r="F12" s="11"/>
      <c r="G12" s="11"/>
      <c r="H12" s="11">
        <v>0.2</v>
      </c>
      <c r="I12" s="11">
        <v>0.5</v>
      </c>
      <c r="J12" s="13">
        <f t="shared" si="0"/>
        <v>0.4</v>
      </c>
      <c r="K12" s="11">
        <f t="shared" si="1"/>
        <v>1</v>
      </c>
    </row>
    <row r="13" spans="1:11" ht="15.75">
      <c r="A13" s="10" t="s">
        <v>9</v>
      </c>
      <c r="B13" s="11">
        <v>0.5</v>
      </c>
      <c r="C13" s="11">
        <v>1.5</v>
      </c>
      <c r="D13" s="11"/>
      <c r="E13" s="11"/>
      <c r="F13" s="11">
        <v>1.3</v>
      </c>
      <c r="G13" s="11">
        <v>2.7</v>
      </c>
      <c r="H13" s="11"/>
      <c r="I13" s="11"/>
      <c r="J13" s="13">
        <f t="shared" si="0"/>
        <v>1.8</v>
      </c>
      <c r="K13" s="11">
        <f t="shared" si="1"/>
        <v>4.2</v>
      </c>
    </row>
    <row r="14" spans="1:11" ht="15.75">
      <c r="A14" s="10" t="s">
        <v>10</v>
      </c>
      <c r="B14" s="11"/>
      <c r="C14" s="11"/>
      <c r="D14" s="11"/>
      <c r="E14" s="11"/>
      <c r="F14" s="11"/>
      <c r="G14" s="10"/>
      <c r="H14" s="11">
        <v>0.5</v>
      </c>
      <c r="I14" s="11">
        <v>2</v>
      </c>
      <c r="J14" s="13">
        <f t="shared" si="0"/>
        <v>0.5</v>
      </c>
      <c r="K14" s="11">
        <f t="shared" si="1"/>
        <v>2</v>
      </c>
    </row>
    <row r="15" spans="1:11" ht="16.5">
      <c r="A15" s="29" t="s">
        <v>11</v>
      </c>
      <c r="B15" s="14">
        <f aca="true" t="shared" si="2" ref="B15:K15">SUM(B6:B14)</f>
        <v>7.3</v>
      </c>
      <c r="C15" s="15">
        <f t="shared" si="2"/>
        <v>23.9</v>
      </c>
      <c r="D15" s="15">
        <f t="shared" si="2"/>
        <v>14.799999999999999</v>
      </c>
      <c r="E15" s="15">
        <f t="shared" si="2"/>
        <v>41.5</v>
      </c>
      <c r="F15" s="15">
        <f t="shared" si="2"/>
        <v>11.500000000000002</v>
      </c>
      <c r="G15" s="15">
        <f t="shared" si="2"/>
        <v>23.1</v>
      </c>
      <c r="H15" s="15">
        <f t="shared" si="2"/>
        <v>1.7</v>
      </c>
      <c r="I15" s="16">
        <f t="shared" si="2"/>
        <v>6.5</v>
      </c>
      <c r="J15" s="14">
        <f t="shared" si="2"/>
        <v>35.3</v>
      </c>
      <c r="K15" s="16">
        <f t="shared" si="2"/>
        <v>95</v>
      </c>
    </row>
    <row r="19" ht="13.5" thickBot="1">
      <c r="A19" s="19" t="s">
        <v>34</v>
      </c>
    </row>
    <row r="20" spans="1:11" ht="17.25" thickTop="1">
      <c r="A20" s="6" t="s">
        <v>0</v>
      </c>
      <c r="B20" s="47" t="s">
        <v>19</v>
      </c>
      <c r="C20" s="47"/>
      <c r="D20" s="47" t="s">
        <v>21</v>
      </c>
      <c r="E20" s="47"/>
      <c r="F20" s="47" t="s">
        <v>22</v>
      </c>
      <c r="G20" s="47"/>
      <c r="H20" s="47"/>
      <c r="I20" s="47"/>
      <c r="J20" s="47" t="s">
        <v>11</v>
      </c>
      <c r="K20" s="47"/>
    </row>
    <row r="21" spans="1:11" ht="16.5">
      <c r="A21" s="8" t="s">
        <v>1</v>
      </c>
      <c r="B21" s="48" t="s">
        <v>20</v>
      </c>
      <c r="C21" s="48"/>
      <c r="D21" s="49"/>
      <c r="E21" s="49"/>
      <c r="F21" s="48" t="s">
        <v>23</v>
      </c>
      <c r="G21" s="48"/>
      <c r="H21" s="48" t="s">
        <v>24</v>
      </c>
      <c r="I21" s="48"/>
      <c r="J21" s="49"/>
      <c r="K21" s="49"/>
    </row>
    <row r="22" spans="1:11" ht="17.25" thickBot="1">
      <c r="A22" s="5"/>
      <c r="B22" s="9" t="s">
        <v>25</v>
      </c>
      <c r="C22" s="9" t="s">
        <v>26</v>
      </c>
      <c r="D22" s="9" t="s">
        <v>25</v>
      </c>
      <c r="E22" s="9" t="s">
        <v>26</v>
      </c>
      <c r="F22" s="9" t="s">
        <v>25</v>
      </c>
      <c r="G22" s="9" t="s">
        <v>26</v>
      </c>
      <c r="H22" s="9" t="s">
        <v>25</v>
      </c>
      <c r="I22" s="9" t="s">
        <v>26</v>
      </c>
      <c r="J22" s="9" t="s">
        <v>25</v>
      </c>
      <c r="K22" s="9" t="s">
        <v>26</v>
      </c>
    </row>
    <row r="23" spans="1:11" ht="15.75">
      <c r="A23" s="10" t="s">
        <v>2</v>
      </c>
      <c r="B23" s="30">
        <f aca="true" t="shared" si="3" ref="B23:B31">ROUNDUP(B6,0)*$B37</f>
        <v>265777.605</v>
      </c>
      <c r="C23" s="30">
        <f aca="true" t="shared" si="4" ref="C23:I23">ROUNDUP(C6,0)*$B37</f>
        <v>885925.3499999999</v>
      </c>
      <c r="D23" s="30">
        <f t="shared" si="4"/>
        <v>0</v>
      </c>
      <c r="E23" s="30">
        <f t="shared" si="4"/>
        <v>0</v>
      </c>
      <c r="F23" s="30">
        <f t="shared" si="4"/>
        <v>531555.21</v>
      </c>
      <c r="G23" s="30">
        <f t="shared" si="4"/>
        <v>974517.8849999999</v>
      </c>
      <c r="H23" s="30">
        <f t="shared" si="4"/>
        <v>88592.53499999999</v>
      </c>
      <c r="I23" s="30">
        <f t="shared" si="4"/>
        <v>354370.13999999996</v>
      </c>
      <c r="J23" s="31">
        <f>H23+F23+D23+B23</f>
        <v>885925.35</v>
      </c>
      <c r="K23" s="30">
        <f>I23+G23+E23+C23</f>
        <v>2214813.375</v>
      </c>
    </row>
    <row r="24" spans="1:11" ht="15.75">
      <c r="A24" s="10" t="s">
        <v>3</v>
      </c>
      <c r="B24" s="30">
        <f t="shared" si="3"/>
        <v>295100.58</v>
      </c>
      <c r="C24" s="30">
        <f aca="true" t="shared" si="5" ref="C24:I24">ROUNDUP(C7,0)*$B38</f>
        <v>590201.16</v>
      </c>
      <c r="D24" s="30">
        <f t="shared" si="5"/>
        <v>0</v>
      </c>
      <c r="E24" s="30">
        <f t="shared" si="5"/>
        <v>0</v>
      </c>
      <c r="F24" s="30">
        <f t="shared" si="5"/>
        <v>442650.87</v>
      </c>
      <c r="G24" s="30">
        <f t="shared" si="5"/>
        <v>885301.74</v>
      </c>
      <c r="H24" s="30">
        <f t="shared" si="5"/>
        <v>0</v>
      </c>
      <c r="I24" s="30">
        <f t="shared" si="5"/>
        <v>0</v>
      </c>
      <c r="J24" s="32">
        <f>H24+F24+D24+B24</f>
        <v>737751.45</v>
      </c>
      <c r="K24" s="30">
        <f>I24+G24+E24+C24</f>
        <v>1475502.9</v>
      </c>
    </row>
    <row r="25" spans="1:11" ht="15.75">
      <c r="A25" s="10" t="s">
        <v>4</v>
      </c>
      <c r="B25" s="30">
        <f t="shared" si="3"/>
        <v>147550.29</v>
      </c>
      <c r="C25" s="30">
        <f aca="true" t="shared" si="6" ref="C25:I25">ROUNDUP(C8,0)*$B39</f>
        <v>147550.29</v>
      </c>
      <c r="D25" s="30">
        <f t="shared" si="6"/>
        <v>590201.16</v>
      </c>
      <c r="E25" s="30">
        <f t="shared" si="6"/>
        <v>1327952.61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0</v>
      </c>
      <c r="J25" s="32">
        <f aca="true" t="shared" si="7" ref="J25:J31">H25+F25+D25+B25</f>
        <v>737751.4500000001</v>
      </c>
      <c r="K25" s="30">
        <f aca="true" t="shared" si="8" ref="K25:K31">I25+G25+E25+C25</f>
        <v>1475502.9000000001</v>
      </c>
    </row>
    <row r="26" spans="1:11" ht="15.75">
      <c r="A26" s="10" t="s">
        <v>5</v>
      </c>
      <c r="B26" s="30">
        <f t="shared" si="3"/>
        <v>77820</v>
      </c>
      <c r="C26" s="30">
        <f aca="true" t="shared" si="9" ref="C26:I26">ROUNDUP(C9,0)*$B40</f>
        <v>233460</v>
      </c>
      <c r="D26" s="30">
        <f t="shared" si="9"/>
        <v>544740</v>
      </c>
      <c r="E26" s="30">
        <f t="shared" si="9"/>
        <v>1478580</v>
      </c>
      <c r="F26" s="30">
        <f t="shared" si="9"/>
        <v>0</v>
      </c>
      <c r="G26" s="30">
        <f t="shared" si="9"/>
        <v>0</v>
      </c>
      <c r="H26" s="30">
        <f t="shared" si="9"/>
        <v>0</v>
      </c>
      <c r="I26" s="30">
        <f t="shared" si="9"/>
        <v>0</v>
      </c>
      <c r="J26" s="32">
        <f t="shared" si="7"/>
        <v>622560</v>
      </c>
      <c r="K26" s="30">
        <f t="shared" si="8"/>
        <v>1712040</v>
      </c>
    </row>
    <row r="27" spans="1:11" ht="15.75">
      <c r="A27" s="10" t="s">
        <v>6</v>
      </c>
      <c r="B27" s="30">
        <f t="shared" si="3"/>
        <v>155640</v>
      </c>
      <c r="C27" s="30">
        <f aca="true" t="shared" si="10" ref="C27:I27">ROUNDUP(C10,0)*$B41</f>
        <v>311280</v>
      </c>
      <c r="D27" s="30">
        <f t="shared" si="10"/>
        <v>622560</v>
      </c>
      <c r="E27" s="30">
        <f t="shared" si="10"/>
        <v>1400760</v>
      </c>
      <c r="F27" s="30">
        <f t="shared" si="10"/>
        <v>466920</v>
      </c>
      <c r="G27" s="30">
        <f t="shared" si="10"/>
        <v>778200</v>
      </c>
      <c r="H27" s="30">
        <f t="shared" si="10"/>
        <v>0</v>
      </c>
      <c r="I27" s="30">
        <f t="shared" si="10"/>
        <v>0</v>
      </c>
      <c r="J27" s="32">
        <f t="shared" si="7"/>
        <v>1245120</v>
      </c>
      <c r="K27" s="30">
        <f t="shared" si="8"/>
        <v>2490240</v>
      </c>
    </row>
    <row r="28" spans="1:11" ht="15.75">
      <c r="A28" s="10" t="s">
        <v>7</v>
      </c>
      <c r="B28" s="30">
        <f t="shared" si="3"/>
        <v>167640</v>
      </c>
      <c r="C28" s="30">
        <f aca="true" t="shared" si="11" ref="C28:I28">ROUNDUP(C11,0)*$B42</f>
        <v>335280</v>
      </c>
      <c r="D28" s="30">
        <f t="shared" si="11"/>
        <v>335280</v>
      </c>
      <c r="E28" s="30">
        <f t="shared" si="11"/>
        <v>1005840</v>
      </c>
      <c r="F28" s="30">
        <f t="shared" si="11"/>
        <v>0</v>
      </c>
      <c r="G28" s="30">
        <f t="shared" si="11"/>
        <v>0</v>
      </c>
      <c r="H28" s="30">
        <f t="shared" si="11"/>
        <v>0</v>
      </c>
      <c r="I28" s="30">
        <f t="shared" si="11"/>
        <v>0</v>
      </c>
      <c r="J28" s="32">
        <f t="shared" si="7"/>
        <v>502920</v>
      </c>
      <c r="K28" s="30">
        <f t="shared" si="8"/>
        <v>1341120</v>
      </c>
    </row>
    <row r="29" spans="1:11" ht="15.75">
      <c r="A29" s="10" t="s">
        <v>8</v>
      </c>
      <c r="B29" s="30">
        <f t="shared" si="3"/>
        <v>311877.99</v>
      </c>
      <c r="C29" s="30">
        <f aca="true" t="shared" si="12" ref="C29:I29">ROUNDUP(C12,0)*$B43</f>
        <v>311877.99</v>
      </c>
      <c r="D29" s="30">
        <f t="shared" si="12"/>
        <v>0</v>
      </c>
      <c r="E29" s="30">
        <f t="shared" si="12"/>
        <v>0</v>
      </c>
      <c r="F29" s="30">
        <f t="shared" si="12"/>
        <v>0</v>
      </c>
      <c r="G29" s="30">
        <f t="shared" si="12"/>
        <v>0</v>
      </c>
      <c r="H29" s="30">
        <f t="shared" si="12"/>
        <v>311877.99</v>
      </c>
      <c r="I29" s="30">
        <f t="shared" si="12"/>
        <v>311877.99</v>
      </c>
      <c r="J29" s="32">
        <f t="shared" si="7"/>
        <v>623755.98</v>
      </c>
      <c r="K29" s="30">
        <f t="shared" si="8"/>
        <v>623755.98</v>
      </c>
    </row>
    <row r="30" spans="1:11" ht="15.75">
      <c r="A30" s="10" t="s">
        <v>9</v>
      </c>
      <c r="B30" s="30">
        <f t="shared" si="3"/>
        <v>311877.99</v>
      </c>
      <c r="C30" s="30">
        <f aca="true" t="shared" si="13" ref="C30:I30">ROUNDUP(C13,0)*$B44</f>
        <v>623755.98</v>
      </c>
      <c r="D30" s="30">
        <f t="shared" si="13"/>
        <v>0</v>
      </c>
      <c r="E30" s="30">
        <f t="shared" si="13"/>
        <v>0</v>
      </c>
      <c r="F30" s="30">
        <f t="shared" si="13"/>
        <v>623755.98</v>
      </c>
      <c r="G30" s="30">
        <f t="shared" si="13"/>
        <v>935633.97</v>
      </c>
      <c r="H30" s="30">
        <f t="shared" si="13"/>
        <v>0</v>
      </c>
      <c r="I30" s="30">
        <f t="shared" si="13"/>
        <v>0</v>
      </c>
      <c r="J30" s="32">
        <f t="shared" si="7"/>
        <v>935633.97</v>
      </c>
      <c r="K30" s="30">
        <f t="shared" si="8"/>
        <v>1559389.95</v>
      </c>
    </row>
    <row r="31" spans="1:11" ht="15.75">
      <c r="A31" s="10" t="s">
        <v>10</v>
      </c>
      <c r="B31" s="30">
        <f t="shared" si="3"/>
        <v>0</v>
      </c>
      <c r="C31" s="30">
        <f aca="true" t="shared" si="14" ref="C31:I31">ROUNDUP(C14,0)*$B45</f>
        <v>0</v>
      </c>
      <c r="D31" s="30">
        <f t="shared" si="14"/>
        <v>0</v>
      </c>
      <c r="E31" s="30">
        <f t="shared" si="14"/>
        <v>0</v>
      </c>
      <c r="F31" s="30">
        <f t="shared" si="14"/>
        <v>0</v>
      </c>
      <c r="G31" s="30">
        <f t="shared" si="14"/>
        <v>0</v>
      </c>
      <c r="H31" s="30">
        <f t="shared" si="14"/>
        <v>202332</v>
      </c>
      <c r="I31" s="30">
        <f t="shared" si="14"/>
        <v>404664</v>
      </c>
      <c r="J31" s="32">
        <f t="shared" si="7"/>
        <v>202332</v>
      </c>
      <c r="K31" s="30">
        <f t="shared" si="8"/>
        <v>404664</v>
      </c>
    </row>
    <row r="32" spans="1:11" ht="16.5">
      <c r="A32" s="29" t="s">
        <v>11</v>
      </c>
      <c r="B32" s="33">
        <f aca="true" t="shared" si="15" ref="B32:K32">SUM(B23:B31)</f>
        <v>1733284.455</v>
      </c>
      <c r="C32" s="34">
        <f t="shared" si="15"/>
        <v>3439330.77</v>
      </c>
      <c r="D32" s="34">
        <f t="shared" si="15"/>
        <v>2092781.1600000001</v>
      </c>
      <c r="E32" s="34">
        <f t="shared" si="15"/>
        <v>5213132.61</v>
      </c>
      <c r="F32" s="34">
        <f t="shared" si="15"/>
        <v>2064882.06</v>
      </c>
      <c r="G32" s="34">
        <f t="shared" si="15"/>
        <v>3573653.5949999997</v>
      </c>
      <c r="H32" s="34">
        <f t="shared" si="15"/>
        <v>602802.5249999999</v>
      </c>
      <c r="I32" s="35">
        <f t="shared" si="15"/>
        <v>1070912.13</v>
      </c>
      <c r="J32" s="33">
        <f t="shared" si="15"/>
        <v>6493750.2</v>
      </c>
      <c r="K32" s="35">
        <f t="shared" si="15"/>
        <v>13297029.105</v>
      </c>
    </row>
    <row r="36" ht="12.75">
      <c r="A36" s="19" t="s">
        <v>27</v>
      </c>
    </row>
    <row r="37" spans="1:2" ht="15.75">
      <c r="A37" s="4" t="s">
        <v>2</v>
      </c>
      <c r="B37" s="17">
        <f>'Salaries per staff category'!J4</f>
        <v>88592.53499999999</v>
      </c>
    </row>
    <row r="38" spans="1:2" ht="15.75">
      <c r="A38" s="4" t="s">
        <v>3</v>
      </c>
      <c r="B38" s="17">
        <f>'Salaries per staff category'!J5</f>
        <v>147550.29</v>
      </c>
    </row>
    <row r="39" spans="1:2" ht="15.75">
      <c r="A39" s="4" t="s">
        <v>12</v>
      </c>
      <c r="B39" s="17">
        <f>'Salaries per staff category'!J6</f>
        <v>147550.29</v>
      </c>
    </row>
    <row r="40" spans="1:2" ht="15.75">
      <c r="A40" s="4" t="s">
        <v>13</v>
      </c>
      <c r="B40" s="17">
        <f>'Salaries per staff category'!J7</f>
        <v>77820</v>
      </c>
    </row>
    <row r="41" spans="1:2" ht="15.75">
      <c r="A41" s="4" t="s">
        <v>6</v>
      </c>
      <c r="B41" s="17">
        <f>'Salaries per staff category'!J8</f>
        <v>155640</v>
      </c>
    </row>
    <row r="42" spans="1:2" ht="15.75">
      <c r="A42" s="4" t="s">
        <v>7</v>
      </c>
      <c r="B42" s="17">
        <f>'Salaries per staff category'!J9</f>
        <v>167640</v>
      </c>
    </row>
    <row r="43" spans="1:2" ht="15.75">
      <c r="A43" s="4" t="s">
        <v>8</v>
      </c>
      <c r="B43" s="17">
        <f>'Salaries per staff category'!J10</f>
        <v>311877.99</v>
      </c>
    </row>
    <row r="44" spans="1:4" ht="15.75">
      <c r="A44" s="4" t="s">
        <v>14</v>
      </c>
      <c r="B44" s="17">
        <f>'Salaries per staff category'!J11</f>
        <v>311877.99</v>
      </c>
      <c r="D44" s="27"/>
    </row>
    <row r="45" spans="1:2" ht="15.75">
      <c r="A45" s="4" t="s">
        <v>10</v>
      </c>
      <c r="B45" s="17">
        <f>'Salaries per staff category'!J12</f>
        <v>202332</v>
      </c>
    </row>
    <row r="48" spans="1:4" ht="12.75">
      <c r="A48" s="7" t="s">
        <v>32</v>
      </c>
      <c r="D48" s="7">
        <v>4.5</v>
      </c>
    </row>
    <row r="50" ht="13.5" thickBot="1">
      <c r="A50" s="7" t="s">
        <v>33</v>
      </c>
    </row>
    <row r="51" spans="1:11" ht="17.25" thickTop="1">
      <c r="A51" s="6" t="s">
        <v>0</v>
      </c>
      <c r="B51" s="47" t="s">
        <v>19</v>
      </c>
      <c r="C51" s="47"/>
      <c r="D51" s="47" t="s">
        <v>21</v>
      </c>
      <c r="E51" s="47"/>
      <c r="F51" s="47" t="s">
        <v>22</v>
      </c>
      <c r="G51" s="47"/>
      <c r="H51" s="47"/>
      <c r="I51" s="47"/>
      <c r="J51" s="47" t="s">
        <v>11</v>
      </c>
      <c r="K51" s="47"/>
    </row>
    <row r="52" spans="1:11" ht="16.5">
      <c r="A52" s="8" t="s">
        <v>1</v>
      </c>
      <c r="B52" s="48" t="s">
        <v>20</v>
      </c>
      <c r="C52" s="48"/>
      <c r="D52" s="49"/>
      <c r="E52" s="49"/>
      <c r="F52" s="48" t="s">
        <v>23</v>
      </c>
      <c r="G52" s="48"/>
      <c r="H52" s="48" t="s">
        <v>24</v>
      </c>
      <c r="I52" s="48"/>
      <c r="J52" s="49"/>
      <c r="K52" s="49"/>
    </row>
    <row r="53" spans="1:11" ht="17.25" thickBot="1">
      <c r="A53" s="5"/>
      <c r="B53" s="9" t="s">
        <v>25</v>
      </c>
      <c r="C53" s="9" t="s">
        <v>26</v>
      </c>
      <c r="D53" s="9" t="s">
        <v>25</v>
      </c>
      <c r="E53" s="9" t="s">
        <v>26</v>
      </c>
      <c r="F53" s="9" t="s">
        <v>25</v>
      </c>
      <c r="G53" s="9" t="s">
        <v>26</v>
      </c>
      <c r="H53" s="9" t="s">
        <v>25</v>
      </c>
      <c r="I53" s="9" t="s">
        <v>26</v>
      </c>
      <c r="J53" s="9" t="s">
        <v>25</v>
      </c>
      <c r="K53" s="9" t="s">
        <v>26</v>
      </c>
    </row>
    <row r="54" spans="1:11" ht="15.75">
      <c r="A54" s="10" t="s">
        <v>2</v>
      </c>
      <c r="B54" s="36">
        <f>B23/$D$48</f>
        <v>59061.689999999995</v>
      </c>
      <c r="C54" s="36">
        <f aca="true" t="shared" si="16" ref="C54:I54">C23/$D$48</f>
        <v>196872.29999999996</v>
      </c>
      <c r="D54" s="36">
        <f t="shared" si="16"/>
        <v>0</v>
      </c>
      <c r="E54" s="36">
        <f t="shared" si="16"/>
        <v>0</v>
      </c>
      <c r="F54" s="36">
        <f t="shared" si="16"/>
        <v>118123.37999999999</v>
      </c>
      <c r="G54" s="36">
        <f t="shared" si="16"/>
        <v>216559.52999999997</v>
      </c>
      <c r="H54" s="36">
        <f t="shared" si="16"/>
        <v>19687.229999999996</v>
      </c>
      <c r="I54" s="36">
        <f t="shared" si="16"/>
        <v>78748.91999999998</v>
      </c>
      <c r="J54" s="37">
        <f>H54+F54+D54+B54</f>
        <v>196872.3</v>
      </c>
      <c r="K54" s="36">
        <f>I54+G54+E54+C54</f>
        <v>492180.7499999999</v>
      </c>
    </row>
    <row r="55" spans="1:11" ht="15.75">
      <c r="A55" s="10" t="s">
        <v>3</v>
      </c>
      <c r="B55" s="36">
        <f aca="true" t="shared" si="17" ref="B55:I62">B24/$D$48</f>
        <v>65577.90666666668</v>
      </c>
      <c r="C55" s="36">
        <f t="shared" si="17"/>
        <v>131155.81333333335</v>
      </c>
      <c r="D55" s="36">
        <f t="shared" si="17"/>
        <v>0</v>
      </c>
      <c r="E55" s="36">
        <f t="shared" si="17"/>
        <v>0</v>
      </c>
      <c r="F55" s="36">
        <f t="shared" si="17"/>
        <v>98366.86</v>
      </c>
      <c r="G55" s="36">
        <f t="shared" si="17"/>
        <v>196733.72</v>
      </c>
      <c r="H55" s="36">
        <f t="shared" si="17"/>
        <v>0</v>
      </c>
      <c r="I55" s="36">
        <f t="shared" si="17"/>
        <v>0</v>
      </c>
      <c r="J55" s="38">
        <f>H55+F55+D55+B55</f>
        <v>163944.76666666666</v>
      </c>
      <c r="K55" s="36">
        <f>I55+G55+E55+C55</f>
        <v>327889.5333333333</v>
      </c>
    </row>
    <row r="56" spans="1:11" ht="15.75">
      <c r="A56" s="10" t="s">
        <v>4</v>
      </c>
      <c r="B56" s="36">
        <f t="shared" si="17"/>
        <v>32788.95333333334</v>
      </c>
      <c r="C56" s="36">
        <f t="shared" si="17"/>
        <v>32788.95333333334</v>
      </c>
      <c r="D56" s="36">
        <f t="shared" si="17"/>
        <v>131155.81333333335</v>
      </c>
      <c r="E56" s="36">
        <f t="shared" si="17"/>
        <v>295100.58</v>
      </c>
      <c r="F56" s="36">
        <f t="shared" si="17"/>
        <v>0</v>
      </c>
      <c r="G56" s="36">
        <f t="shared" si="17"/>
        <v>0</v>
      </c>
      <c r="H56" s="36">
        <f t="shared" si="17"/>
        <v>0</v>
      </c>
      <c r="I56" s="36">
        <f t="shared" si="17"/>
        <v>0</v>
      </c>
      <c r="J56" s="38">
        <f aca="true" t="shared" si="18" ref="J56:J62">H56+F56+D56+B56</f>
        <v>163944.7666666667</v>
      </c>
      <c r="K56" s="36">
        <f aca="true" t="shared" si="19" ref="K56:K62">I56+G56+E56+C56</f>
        <v>327889.5333333333</v>
      </c>
    </row>
    <row r="57" spans="1:11" ht="15.75">
      <c r="A57" s="10" t="s">
        <v>5</v>
      </c>
      <c r="B57" s="36">
        <f t="shared" si="17"/>
        <v>17293.333333333332</v>
      </c>
      <c r="C57" s="36">
        <f t="shared" si="17"/>
        <v>51880</v>
      </c>
      <c r="D57" s="36">
        <f t="shared" si="17"/>
        <v>121053.33333333333</v>
      </c>
      <c r="E57" s="36">
        <f t="shared" si="17"/>
        <v>328573.3333333333</v>
      </c>
      <c r="F57" s="36">
        <f t="shared" si="17"/>
        <v>0</v>
      </c>
      <c r="G57" s="36">
        <f t="shared" si="17"/>
        <v>0</v>
      </c>
      <c r="H57" s="36">
        <f t="shared" si="17"/>
        <v>0</v>
      </c>
      <c r="I57" s="36">
        <f t="shared" si="17"/>
        <v>0</v>
      </c>
      <c r="J57" s="38">
        <f t="shared" si="18"/>
        <v>138346.66666666666</v>
      </c>
      <c r="K57" s="36">
        <f t="shared" si="19"/>
        <v>380453.3333333333</v>
      </c>
    </row>
    <row r="58" spans="1:11" ht="15.75">
      <c r="A58" s="10" t="s">
        <v>6</v>
      </c>
      <c r="B58" s="36">
        <f t="shared" si="17"/>
        <v>34586.666666666664</v>
      </c>
      <c r="C58" s="36">
        <f t="shared" si="17"/>
        <v>69173.33333333333</v>
      </c>
      <c r="D58" s="36">
        <f t="shared" si="17"/>
        <v>138346.66666666666</v>
      </c>
      <c r="E58" s="36">
        <f t="shared" si="17"/>
        <v>311280</v>
      </c>
      <c r="F58" s="36">
        <f t="shared" si="17"/>
        <v>103760</v>
      </c>
      <c r="G58" s="36">
        <f t="shared" si="17"/>
        <v>172933.33333333334</v>
      </c>
      <c r="H58" s="36">
        <f t="shared" si="17"/>
        <v>0</v>
      </c>
      <c r="I58" s="36">
        <f t="shared" si="17"/>
        <v>0</v>
      </c>
      <c r="J58" s="38">
        <f t="shared" si="18"/>
        <v>276693.3333333333</v>
      </c>
      <c r="K58" s="36">
        <f t="shared" si="19"/>
        <v>553386.6666666667</v>
      </c>
    </row>
    <row r="59" spans="1:11" ht="15.75">
      <c r="A59" s="10" t="s">
        <v>7</v>
      </c>
      <c r="B59" s="36">
        <f t="shared" si="17"/>
        <v>37253.333333333336</v>
      </c>
      <c r="C59" s="36">
        <f t="shared" si="17"/>
        <v>74506.66666666667</v>
      </c>
      <c r="D59" s="36">
        <f t="shared" si="17"/>
        <v>74506.66666666667</v>
      </c>
      <c r="E59" s="36">
        <f t="shared" si="17"/>
        <v>223520</v>
      </c>
      <c r="F59" s="36">
        <f t="shared" si="17"/>
        <v>0</v>
      </c>
      <c r="G59" s="36">
        <f t="shared" si="17"/>
        <v>0</v>
      </c>
      <c r="H59" s="36">
        <f t="shared" si="17"/>
        <v>0</v>
      </c>
      <c r="I59" s="36">
        <f t="shared" si="17"/>
        <v>0</v>
      </c>
      <c r="J59" s="38">
        <f t="shared" si="18"/>
        <v>111760</v>
      </c>
      <c r="K59" s="36">
        <f t="shared" si="19"/>
        <v>298026.6666666667</v>
      </c>
    </row>
    <row r="60" spans="1:11" ht="15.75">
      <c r="A60" s="10" t="s">
        <v>8</v>
      </c>
      <c r="B60" s="36">
        <f t="shared" si="17"/>
        <v>69306.22</v>
      </c>
      <c r="C60" s="36">
        <f t="shared" si="17"/>
        <v>69306.22</v>
      </c>
      <c r="D60" s="36">
        <f t="shared" si="17"/>
        <v>0</v>
      </c>
      <c r="E60" s="36">
        <f t="shared" si="17"/>
        <v>0</v>
      </c>
      <c r="F60" s="36">
        <f t="shared" si="17"/>
        <v>0</v>
      </c>
      <c r="G60" s="36">
        <f t="shared" si="17"/>
        <v>0</v>
      </c>
      <c r="H60" s="36">
        <f t="shared" si="17"/>
        <v>69306.22</v>
      </c>
      <c r="I60" s="36">
        <f t="shared" si="17"/>
        <v>69306.22</v>
      </c>
      <c r="J60" s="38">
        <f t="shared" si="18"/>
        <v>138612.44</v>
      </c>
      <c r="K60" s="36">
        <f t="shared" si="19"/>
        <v>138612.44</v>
      </c>
    </row>
    <row r="61" spans="1:11" ht="15.75">
      <c r="A61" s="10" t="s">
        <v>9</v>
      </c>
      <c r="B61" s="36">
        <f t="shared" si="17"/>
        <v>69306.22</v>
      </c>
      <c r="C61" s="36">
        <f t="shared" si="17"/>
        <v>138612.44</v>
      </c>
      <c r="D61" s="36">
        <f t="shared" si="17"/>
        <v>0</v>
      </c>
      <c r="E61" s="36">
        <f t="shared" si="17"/>
        <v>0</v>
      </c>
      <c r="F61" s="36">
        <f t="shared" si="17"/>
        <v>138612.44</v>
      </c>
      <c r="G61" s="36">
        <f t="shared" si="17"/>
        <v>207918.66</v>
      </c>
      <c r="H61" s="36">
        <f t="shared" si="17"/>
        <v>0</v>
      </c>
      <c r="I61" s="36">
        <f t="shared" si="17"/>
        <v>0</v>
      </c>
      <c r="J61" s="38">
        <f t="shared" si="18"/>
        <v>207918.66</v>
      </c>
      <c r="K61" s="36">
        <f t="shared" si="19"/>
        <v>346531.1</v>
      </c>
    </row>
    <row r="62" spans="1:11" ht="15.75">
      <c r="A62" s="10" t="s">
        <v>10</v>
      </c>
      <c r="B62" s="36">
        <f t="shared" si="17"/>
        <v>0</v>
      </c>
      <c r="C62" s="36">
        <f t="shared" si="17"/>
        <v>0</v>
      </c>
      <c r="D62" s="36">
        <f t="shared" si="17"/>
        <v>0</v>
      </c>
      <c r="E62" s="36">
        <f t="shared" si="17"/>
        <v>0</v>
      </c>
      <c r="F62" s="36">
        <f t="shared" si="17"/>
        <v>0</v>
      </c>
      <c r="G62" s="36">
        <f t="shared" si="17"/>
        <v>0</v>
      </c>
      <c r="H62" s="36">
        <f t="shared" si="17"/>
        <v>44962.666666666664</v>
      </c>
      <c r="I62" s="36">
        <f t="shared" si="17"/>
        <v>89925.33333333333</v>
      </c>
      <c r="J62" s="38">
        <f t="shared" si="18"/>
        <v>44962.666666666664</v>
      </c>
      <c r="K62" s="36">
        <f t="shared" si="19"/>
        <v>89925.33333333333</v>
      </c>
    </row>
    <row r="63" spans="1:11" ht="16.5">
      <c r="A63" s="28" t="s">
        <v>11</v>
      </c>
      <c r="B63" s="39">
        <f aca="true" t="shared" si="20" ref="B63:K63">SUM(B54:B62)</f>
        <v>385174.32333333336</v>
      </c>
      <c r="C63" s="40">
        <f t="shared" si="20"/>
        <v>764295.7266666666</v>
      </c>
      <c r="D63" s="40">
        <f t="shared" si="20"/>
        <v>465062.48000000004</v>
      </c>
      <c r="E63" s="40">
        <f t="shared" si="20"/>
        <v>1158473.9133333333</v>
      </c>
      <c r="F63" s="40">
        <f t="shared" si="20"/>
        <v>458862.68</v>
      </c>
      <c r="G63" s="40">
        <f t="shared" si="20"/>
        <v>794145.2433333334</v>
      </c>
      <c r="H63" s="40">
        <f t="shared" si="20"/>
        <v>133956.11666666667</v>
      </c>
      <c r="I63" s="41">
        <f t="shared" si="20"/>
        <v>237980.47333333333</v>
      </c>
      <c r="J63" s="39">
        <f t="shared" si="20"/>
        <v>1443055.5999999999</v>
      </c>
      <c r="K63" s="41">
        <f t="shared" si="20"/>
        <v>2954895.3566666665</v>
      </c>
    </row>
    <row r="68" spans="1:4" ht="15">
      <c r="A68" s="1" t="s">
        <v>35</v>
      </c>
      <c r="B68" s="2"/>
      <c r="C68" s="2"/>
      <c r="D68" s="2"/>
    </row>
    <row r="69" spans="1:4" ht="15">
      <c r="A69" s="1" t="s">
        <v>27</v>
      </c>
      <c r="B69" s="2"/>
      <c r="C69" s="42" t="s">
        <v>25</v>
      </c>
      <c r="D69" s="42" t="s">
        <v>26</v>
      </c>
    </row>
    <row r="70" spans="1:4" ht="15">
      <c r="A70" s="3" t="s">
        <v>2</v>
      </c>
      <c r="B70" s="2"/>
      <c r="C70" s="43">
        <v>196872.3</v>
      </c>
      <c r="D70" s="43">
        <v>492180.75</v>
      </c>
    </row>
    <row r="71" spans="1:4" ht="15">
      <c r="A71" s="3" t="s">
        <v>3</v>
      </c>
      <c r="B71" s="2"/>
      <c r="C71" s="43">
        <v>163944.76666666666</v>
      </c>
      <c r="D71" s="43">
        <v>327889.5333333333</v>
      </c>
    </row>
    <row r="72" spans="1:4" ht="15">
      <c r="A72" s="3" t="s">
        <v>12</v>
      </c>
      <c r="B72" s="2"/>
      <c r="C72" s="43">
        <v>163944.7666666667</v>
      </c>
      <c r="D72" s="43">
        <v>327889.5333333333</v>
      </c>
    </row>
    <row r="73" spans="1:4" ht="15">
      <c r="A73" s="3" t="s">
        <v>13</v>
      </c>
      <c r="B73" s="2"/>
      <c r="C73" s="43">
        <v>138346.66666666666</v>
      </c>
      <c r="D73" s="43">
        <v>380453.3333333333</v>
      </c>
    </row>
    <row r="74" spans="1:4" ht="15">
      <c r="A74" s="3" t="s">
        <v>6</v>
      </c>
      <c r="B74" s="2"/>
      <c r="C74" s="43">
        <v>276693.3333333333</v>
      </c>
      <c r="D74" s="43">
        <v>553386.6666666667</v>
      </c>
    </row>
    <row r="75" spans="1:4" ht="15">
      <c r="A75" s="3" t="s">
        <v>7</v>
      </c>
      <c r="B75" s="2"/>
      <c r="C75" s="43">
        <v>111760</v>
      </c>
      <c r="D75" s="43">
        <v>298026.6666666667</v>
      </c>
    </row>
    <row r="76" spans="1:4" ht="15">
      <c r="A76" s="3" t="s">
        <v>8</v>
      </c>
      <c r="B76" s="2"/>
      <c r="C76" s="43">
        <v>138612.44</v>
      </c>
      <c r="D76" s="43">
        <v>138612.44</v>
      </c>
    </row>
    <row r="77" spans="1:4" ht="15">
      <c r="A77" s="3" t="s">
        <v>14</v>
      </c>
      <c r="B77" s="2"/>
      <c r="C77" s="43">
        <v>207918.66</v>
      </c>
      <c r="D77" s="43">
        <v>346531.1</v>
      </c>
    </row>
    <row r="78" spans="1:4" ht="15">
      <c r="A78" s="3" t="s">
        <v>10</v>
      </c>
      <c r="B78" s="2"/>
      <c r="C78" s="43">
        <v>44962.666666666664</v>
      </c>
      <c r="D78" s="43">
        <v>89925.33333333333</v>
      </c>
    </row>
    <row r="79" spans="1:4" ht="15">
      <c r="A79" s="44" t="s">
        <v>11</v>
      </c>
      <c r="B79" s="2"/>
      <c r="C79" s="45">
        <v>1443055.6</v>
      </c>
      <c r="D79" s="45">
        <v>2954895.3566666665</v>
      </c>
    </row>
  </sheetData>
  <mergeCells count="24">
    <mergeCell ref="J51:K52"/>
    <mergeCell ref="B52:C52"/>
    <mergeCell ref="F52:G52"/>
    <mergeCell ref="H52:I52"/>
    <mergeCell ref="H21:I21"/>
    <mergeCell ref="B51:C51"/>
    <mergeCell ref="D51:E52"/>
    <mergeCell ref="F51:G51"/>
    <mergeCell ref="H51:I51"/>
    <mergeCell ref="H3:I3"/>
    <mergeCell ref="H4:I4"/>
    <mergeCell ref="J3:K4"/>
    <mergeCell ref="B20:C20"/>
    <mergeCell ref="D20:E21"/>
    <mergeCell ref="F20:G20"/>
    <mergeCell ref="H20:I20"/>
    <mergeCell ref="J20:K21"/>
    <mergeCell ref="B21:C21"/>
    <mergeCell ref="F21:G21"/>
    <mergeCell ref="B3:C3"/>
    <mergeCell ref="B4:C4"/>
    <mergeCell ref="D3:E4"/>
    <mergeCell ref="F3:G3"/>
    <mergeCell ref="F4:G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B3" sqref="B3"/>
    </sheetView>
  </sheetViews>
  <sheetFormatPr defaultColWidth="9.140625" defaultRowHeight="12.75"/>
  <cols>
    <col min="1" max="1" width="29.140625" style="0" customWidth="1"/>
    <col min="2" max="3" width="13.28125" style="0" customWidth="1"/>
    <col min="4" max="4" width="11.28125" style="0" bestFit="1" customWidth="1"/>
    <col min="5" max="5" width="12.8515625" style="0" bestFit="1" customWidth="1"/>
    <col min="6" max="9" width="11.28125" style="0" bestFit="1" customWidth="1"/>
    <col min="10" max="11" width="12.8515625" style="0" bestFit="1" customWidth="1"/>
  </cols>
  <sheetData>
    <row r="1" spans="1:3" ht="15">
      <c r="A1" s="1" t="s">
        <v>35</v>
      </c>
      <c r="B1" s="2"/>
      <c r="C1" s="2"/>
    </row>
    <row r="2" spans="1:3" ht="15">
      <c r="A2" s="1" t="s">
        <v>27</v>
      </c>
      <c r="B2" s="42" t="s">
        <v>25</v>
      </c>
      <c r="C2" s="42" t="s">
        <v>26</v>
      </c>
    </row>
    <row r="3" spans="1:3" ht="15">
      <c r="A3" s="3" t="s">
        <v>2</v>
      </c>
      <c r="B3" s="43">
        <v>196872.3</v>
      </c>
      <c r="C3" s="43">
        <v>492180.75</v>
      </c>
    </row>
    <row r="4" spans="1:3" ht="15">
      <c r="A4" s="3" t="s">
        <v>3</v>
      </c>
      <c r="B4" s="43">
        <v>163944.76666666666</v>
      </c>
      <c r="C4" s="43">
        <v>327889.5333333333</v>
      </c>
    </row>
    <row r="5" spans="1:3" ht="15">
      <c r="A5" s="3" t="s">
        <v>12</v>
      </c>
      <c r="B5" s="43">
        <v>163944.7666666667</v>
      </c>
      <c r="C5" s="43">
        <v>327889.5333333333</v>
      </c>
    </row>
    <row r="6" spans="1:3" ht="15">
      <c r="A6" s="3" t="s">
        <v>13</v>
      </c>
      <c r="B6" s="43">
        <v>138346.66666666666</v>
      </c>
      <c r="C6" s="43">
        <v>380453.3333333333</v>
      </c>
    </row>
    <row r="7" spans="1:3" ht="15">
      <c r="A7" s="3" t="s">
        <v>6</v>
      </c>
      <c r="B7" s="43">
        <v>276693.3333333333</v>
      </c>
      <c r="C7" s="43">
        <v>553386.6666666667</v>
      </c>
    </row>
    <row r="8" spans="1:3" ht="15">
      <c r="A8" s="3" t="s">
        <v>7</v>
      </c>
      <c r="B8" s="43">
        <v>111760</v>
      </c>
      <c r="C8" s="43">
        <v>298026.6666666667</v>
      </c>
    </row>
    <row r="9" spans="1:3" ht="15">
      <c r="A9" s="3" t="s">
        <v>8</v>
      </c>
      <c r="B9" s="43">
        <v>138612.44</v>
      </c>
      <c r="C9" s="43">
        <v>138612.44</v>
      </c>
    </row>
    <row r="10" spans="1:3" ht="15">
      <c r="A10" s="3" t="s">
        <v>14</v>
      </c>
      <c r="B10" s="43">
        <v>207918.66</v>
      </c>
      <c r="C10" s="43">
        <v>346531.1</v>
      </c>
    </row>
    <row r="11" spans="1:3" ht="15">
      <c r="A11" s="3" t="s">
        <v>10</v>
      </c>
      <c r="B11" s="43">
        <v>44962.666666666664</v>
      </c>
      <c r="C11" s="43">
        <v>89925.33333333333</v>
      </c>
    </row>
    <row r="12" spans="1:3" ht="15">
      <c r="A12" s="44" t="s">
        <v>11</v>
      </c>
      <c r="B12" s="45">
        <v>1443055.6</v>
      </c>
      <c r="C12" s="45">
        <v>2954895.3566666665</v>
      </c>
    </row>
    <row r="17" spans="1:11" ht="15">
      <c r="A17" s="2" t="s">
        <v>33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">
      <c r="A18" s="51" t="s">
        <v>27</v>
      </c>
      <c r="B18" s="50" t="s">
        <v>36</v>
      </c>
      <c r="C18" s="50"/>
      <c r="D18" s="50" t="s">
        <v>21</v>
      </c>
      <c r="E18" s="50"/>
      <c r="F18" s="50" t="s">
        <v>37</v>
      </c>
      <c r="G18" s="50"/>
      <c r="H18" s="50" t="s">
        <v>24</v>
      </c>
      <c r="I18" s="50"/>
      <c r="J18" s="50" t="s">
        <v>11</v>
      </c>
      <c r="K18" s="50"/>
    </row>
    <row r="19" spans="1:11" ht="15">
      <c r="A19" s="51"/>
      <c r="B19" s="1" t="s">
        <v>25</v>
      </c>
      <c r="C19" s="1" t="s">
        <v>26</v>
      </c>
      <c r="D19" s="1" t="s">
        <v>25</v>
      </c>
      <c r="E19" s="1" t="s">
        <v>26</v>
      </c>
      <c r="F19" s="1" t="s">
        <v>25</v>
      </c>
      <c r="G19" s="1" t="s">
        <v>26</v>
      </c>
      <c r="H19" s="1" t="s">
        <v>25</v>
      </c>
      <c r="I19" s="1" t="s">
        <v>26</v>
      </c>
      <c r="J19" s="1" t="s">
        <v>25</v>
      </c>
      <c r="K19" s="1" t="s">
        <v>26</v>
      </c>
    </row>
    <row r="20" spans="1:11" ht="15">
      <c r="A20" s="2" t="s">
        <v>2</v>
      </c>
      <c r="B20" s="46">
        <v>59061.69</v>
      </c>
      <c r="C20" s="46">
        <v>196872.3</v>
      </c>
      <c r="D20" s="46">
        <v>0</v>
      </c>
      <c r="E20" s="46">
        <v>0</v>
      </c>
      <c r="F20" s="46">
        <v>118123.38</v>
      </c>
      <c r="G20" s="46">
        <v>216559.53</v>
      </c>
      <c r="H20" s="46">
        <v>19687.23</v>
      </c>
      <c r="I20" s="46">
        <v>78748.92</v>
      </c>
      <c r="J20" s="46">
        <v>196872.3</v>
      </c>
      <c r="K20" s="46">
        <v>492180.75</v>
      </c>
    </row>
    <row r="21" spans="1:11" ht="15">
      <c r="A21" s="2" t="s">
        <v>3</v>
      </c>
      <c r="B21" s="46">
        <v>65577.90666666668</v>
      </c>
      <c r="C21" s="46">
        <v>131155.81333333335</v>
      </c>
      <c r="D21" s="46">
        <v>0</v>
      </c>
      <c r="E21" s="46">
        <v>0</v>
      </c>
      <c r="F21" s="46">
        <v>98366.86</v>
      </c>
      <c r="G21" s="46">
        <v>196733.72</v>
      </c>
      <c r="H21" s="46">
        <v>0</v>
      </c>
      <c r="I21" s="46">
        <v>0</v>
      </c>
      <c r="J21" s="46">
        <v>163944.76666666666</v>
      </c>
      <c r="K21" s="46">
        <v>327889.5333333333</v>
      </c>
    </row>
    <row r="22" spans="1:11" ht="15">
      <c r="A22" s="2" t="s">
        <v>4</v>
      </c>
      <c r="B22" s="46">
        <v>32788.95333333334</v>
      </c>
      <c r="C22" s="46">
        <v>32788.95333333334</v>
      </c>
      <c r="D22" s="46">
        <v>131155.81333333335</v>
      </c>
      <c r="E22" s="46">
        <v>295100.58</v>
      </c>
      <c r="F22" s="46">
        <v>0</v>
      </c>
      <c r="G22" s="46">
        <v>0</v>
      </c>
      <c r="H22" s="46">
        <v>0</v>
      </c>
      <c r="I22" s="46">
        <v>0</v>
      </c>
      <c r="J22" s="46">
        <v>163944.7666666667</v>
      </c>
      <c r="K22" s="46">
        <v>327889.5333333333</v>
      </c>
    </row>
    <row r="23" spans="1:11" ht="15">
      <c r="A23" s="2" t="s">
        <v>5</v>
      </c>
      <c r="B23" s="46">
        <v>17293.333333333332</v>
      </c>
      <c r="C23" s="46">
        <v>51880</v>
      </c>
      <c r="D23" s="46">
        <v>121053.33333333333</v>
      </c>
      <c r="E23" s="46">
        <v>328573.3333333333</v>
      </c>
      <c r="F23" s="46">
        <v>0</v>
      </c>
      <c r="G23" s="46">
        <v>0</v>
      </c>
      <c r="H23" s="46">
        <v>0</v>
      </c>
      <c r="I23" s="46">
        <v>0</v>
      </c>
      <c r="J23" s="46">
        <v>138346.66666666666</v>
      </c>
      <c r="K23" s="46">
        <v>380453.3333333333</v>
      </c>
    </row>
    <row r="24" spans="1:11" ht="15">
      <c r="A24" s="2" t="s">
        <v>6</v>
      </c>
      <c r="B24" s="46">
        <v>34586.666666666664</v>
      </c>
      <c r="C24" s="46">
        <v>69173.33333333333</v>
      </c>
      <c r="D24" s="46">
        <v>138346.66666666666</v>
      </c>
      <c r="E24" s="46">
        <v>311280</v>
      </c>
      <c r="F24" s="46">
        <v>103760</v>
      </c>
      <c r="G24" s="46">
        <v>172933.33333333334</v>
      </c>
      <c r="H24" s="46">
        <v>0</v>
      </c>
      <c r="I24" s="46">
        <v>0</v>
      </c>
      <c r="J24" s="46">
        <v>276693.3333333333</v>
      </c>
      <c r="K24" s="46">
        <v>553386.6666666667</v>
      </c>
    </row>
    <row r="25" spans="1:11" ht="15">
      <c r="A25" s="2" t="s">
        <v>7</v>
      </c>
      <c r="B25" s="46">
        <v>37253.333333333336</v>
      </c>
      <c r="C25" s="46">
        <v>74506.66666666667</v>
      </c>
      <c r="D25" s="46">
        <v>74506.66666666667</v>
      </c>
      <c r="E25" s="46">
        <v>223520</v>
      </c>
      <c r="F25" s="46">
        <v>0</v>
      </c>
      <c r="G25" s="46">
        <v>0</v>
      </c>
      <c r="H25" s="46">
        <v>0</v>
      </c>
      <c r="I25" s="46">
        <v>0</v>
      </c>
      <c r="J25" s="46">
        <v>111760</v>
      </c>
      <c r="K25" s="46">
        <v>298026.6666666667</v>
      </c>
    </row>
    <row r="26" spans="1:11" ht="15">
      <c r="A26" s="2" t="s">
        <v>8</v>
      </c>
      <c r="B26" s="46">
        <v>69306.22</v>
      </c>
      <c r="C26" s="46">
        <v>69306.22</v>
      </c>
      <c r="D26" s="46">
        <v>0</v>
      </c>
      <c r="E26" s="46">
        <v>0</v>
      </c>
      <c r="F26" s="46">
        <v>0</v>
      </c>
      <c r="G26" s="46">
        <v>0</v>
      </c>
      <c r="H26" s="46">
        <v>69306.22</v>
      </c>
      <c r="I26" s="46">
        <v>69306.22</v>
      </c>
      <c r="J26" s="46">
        <v>138612.44</v>
      </c>
      <c r="K26" s="46">
        <v>138612.44</v>
      </c>
    </row>
    <row r="27" spans="1:11" ht="15">
      <c r="A27" s="2" t="s">
        <v>9</v>
      </c>
      <c r="B27" s="46">
        <v>69306.22</v>
      </c>
      <c r="C27" s="46">
        <v>138612.44</v>
      </c>
      <c r="D27" s="46">
        <v>0</v>
      </c>
      <c r="E27" s="46">
        <v>0</v>
      </c>
      <c r="F27" s="46">
        <v>138612.44</v>
      </c>
      <c r="G27" s="46">
        <v>207918.66</v>
      </c>
      <c r="H27" s="46">
        <v>0</v>
      </c>
      <c r="I27" s="46">
        <v>0</v>
      </c>
      <c r="J27" s="46">
        <v>207918.66</v>
      </c>
      <c r="K27" s="46">
        <v>346531.1</v>
      </c>
    </row>
    <row r="28" spans="1:11" ht="15">
      <c r="A28" s="2" t="s">
        <v>10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44962.666666666664</v>
      </c>
      <c r="I28" s="46">
        <v>89925.33333333333</v>
      </c>
      <c r="J28" s="46">
        <v>44962.666666666664</v>
      </c>
      <c r="K28" s="46">
        <v>89925.33333333333</v>
      </c>
    </row>
    <row r="29" spans="1:11" ht="15">
      <c r="A29" s="1" t="s">
        <v>11</v>
      </c>
      <c r="B29" s="46">
        <v>385174.32333333336</v>
      </c>
      <c r="C29" s="46">
        <v>764295.7266666666</v>
      </c>
      <c r="D29" s="46">
        <v>465062.48</v>
      </c>
      <c r="E29" s="46">
        <v>1158473.9133333333</v>
      </c>
      <c r="F29" s="46">
        <v>458862.68</v>
      </c>
      <c r="G29" s="46">
        <v>794145.2433333334</v>
      </c>
      <c r="H29" s="46">
        <v>133956.11666666667</v>
      </c>
      <c r="I29" s="46">
        <v>237980.47333333333</v>
      </c>
      <c r="J29" s="46">
        <v>1443055.6</v>
      </c>
      <c r="K29" s="46">
        <v>2954895.3566666665</v>
      </c>
    </row>
  </sheetData>
  <mergeCells count="6">
    <mergeCell ref="J18:K18"/>
    <mergeCell ref="A18:A19"/>
    <mergeCell ref="B18:C18"/>
    <mergeCell ref="D18:E18"/>
    <mergeCell ref="F18:G18"/>
    <mergeCell ref="H18:I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Kwazulu-Natal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C Lund</cp:lastModifiedBy>
  <dcterms:created xsi:type="dcterms:W3CDTF">2009-05-19T10:22:11Z</dcterms:created>
  <dcterms:modified xsi:type="dcterms:W3CDTF">2009-05-27T07:26:14Z</dcterms:modified>
  <cp:category/>
  <cp:version/>
  <cp:contentType/>
  <cp:contentStatus/>
</cp:coreProperties>
</file>