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https://educationgovuk.sharepoint.com/sites/PreventionTeam/Prevention/Prevention Systems/College financial returns/Interim solutions/Cash flow template/Release template/"/>
    </mc:Choice>
  </mc:AlternateContent>
  <xr:revisionPtr revIDLastSave="14" documentId="8_{EEFD85C5-CBD9-4454-9091-4DEB9ED8E662}" xr6:coauthVersionLast="47" xr6:coauthVersionMax="47" xr10:uidLastSave="{C9CD4DF7-52A4-415E-99B4-78DF1DF0C027}"/>
  <workbookProtection workbookAlgorithmName="SHA-512" workbookHashValue="/j5I+5L/9iNPWBpTdKuFdKsmeAUED+ICOjSUUEIYB5eD/D5tRvlKSOxDDNwi4REBd0sZMr3JwMRdK8vdoWD/xg==" workbookSaltValue="yWzeFPEtamsidORvdElmqA==" workbookSpinCount="100000" lockStructure="1"/>
  <bookViews>
    <workbookView xWindow="33720" yWindow="-120" windowWidth="29040" windowHeight="15840" xr2:uid="{00000000-000D-0000-FFFF-FFFF00000000}"/>
  </bookViews>
  <sheets>
    <sheet name="Guidance" sheetId="8" r:id="rId1"/>
    <sheet name="Cover Sheet" sheetId="13" r:id="rId2"/>
    <sheet name="Monthly cash flow" sheetId="1" r:id="rId3"/>
    <sheet name="List of colleges" sheetId="14" state="hidden" r:id="rId4"/>
  </sheets>
  <definedNames>
    <definedName name="CollegeUKPRNs">#REF!</definedName>
    <definedName name="OpeningBalance">'Monthly cash flow'!$B$83</definedName>
    <definedName name="_xlnm.Print_Area" localSheetId="1">'Cover Sheet'!$A$1:$J$33</definedName>
    <definedName name="StartDate">'Monthly cash flow'!$A$8</definedName>
    <definedName name="UKPRN">'Monthly cash flow'!$A$4</definedName>
    <definedName name="Version">Guidance!$F$3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8" l="1"/>
  <c r="C12" i="1"/>
  <c r="D12" i="1"/>
  <c r="E12" i="1"/>
  <c r="F12" i="1"/>
  <c r="G12" i="1"/>
  <c r="H12" i="1"/>
  <c r="I12" i="1"/>
  <c r="J12" i="1"/>
  <c r="K12" i="1"/>
  <c r="L12" i="1"/>
  <c r="M12" i="1"/>
  <c r="N12" i="1"/>
  <c r="O12" i="1"/>
  <c r="P12" i="1"/>
  <c r="Q12" i="1"/>
  <c r="R12" i="1"/>
  <c r="S12" i="1"/>
  <c r="T12" i="1"/>
  <c r="U12" i="1"/>
  <c r="V12" i="1"/>
  <c r="W12" i="1"/>
  <c r="X12" i="1"/>
  <c r="Y12" i="1"/>
  <c r="Z12" i="1"/>
  <c r="AA12" i="1"/>
  <c r="AB12" i="1"/>
  <c r="AC12" i="1"/>
  <c r="AD12" i="1"/>
  <c r="AE12" i="1"/>
  <c r="AF12" i="1"/>
  <c r="B12" i="1"/>
  <c r="I16" i="13"/>
  <c r="D16" i="13"/>
  <c r="I14" i="13"/>
  <c r="D14" i="13"/>
  <c r="C23" i="13"/>
  <c r="B55" i="1"/>
  <c r="AF39" i="1" l="1"/>
  <c r="AF38" i="1"/>
  <c r="B56" i="1"/>
  <c r="M39" i="1"/>
  <c r="M38" i="1"/>
  <c r="B39" i="1"/>
  <c r="Z82" i="1"/>
  <c r="AA82" i="1"/>
  <c r="AB82" i="1"/>
  <c r="AC82" i="1"/>
  <c r="AD82" i="1"/>
  <c r="AE82" i="1"/>
  <c r="AF82" i="1"/>
  <c r="B18" i="8"/>
  <c r="Z74" i="1"/>
  <c r="AA74" i="1"/>
  <c r="AB74" i="1"/>
  <c r="AC74" i="1"/>
  <c r="AD74" i="1"/>
  <c r="AE74" i="1"/>
  <c r="AF74" i="1"/>
  <c r="Z73" i="1"/>
  <c r="AA73" i="1"/>
  <c r="AB73" i="1"/>
  <c r="AC73" i="1"/>
  <c r="AD73" i="1"/>
  <c r="AE73" i="1"/>
  <c r="AF73" i="1"/>
  <c r="Z56" i="1"/>
  <c r="AA56" i="1"/>
  <c r="AB56" i="1"/>
  <c r="AC56" i="1"/>
  <c r="AD56" i="1"/>
  <c r="AE56" i="1"/>
  <c r="AF56" i="1"/>
  <c r="Z55" i="1"/>
  <c r="AA55" i="1"/>
  <c r="AB55" i="1"/>
  <c r="AC55" i="1"/>
  <c r="AD55" i="1"/>
  <c r="AE55" i="1"/>
  <c r="AF55" i="1"/>
  <c r="Z39" i="1"/>
  <c r="AA39" i="1"/>
  <c r="AB39" i="1"/>
  <c r="AC39" i="1"/>
  <c r="AD39" i="1"/>
  <c r="AE39" i="1"/>
  <c r="Z38" i="1"/>
  <c r="AA38" i="1"/>
  <c r="AB38" i="1"/>
  <c r="AC38" i="1"/>
  <c r="AD38" i="1"/>
  <c r="AE38" i="1"/>
  <c r="Y38" i="1"/>
  <c r="Y39" i="1"/>
  <c r="Y55" i="1"/>
  <c r="Y56" i="1"/>
  <c r="Y73" i="1"/>
  <c r="Y74" i="1"/>
  <c r="AA13" i="1"/>
  <c r="AB11" i="1"/>
  <c r="AC11" i="1"/>
  <c r="AD13" i="1"/>
  <c r="AE13" i="1"/>
  <c r="AF11" i="1"/>
  <c r="Z11" i="1"/>
  <c r="B82" i="1"/>
  <c r="B11" i="1"/>
  <c r="M41" i="1" l="1"/>
  <c r="AF41" i="1"/>
  <c r="AE58" i="1"/>
  <c r="AF76" i="1"/>
  <c r="AE76" i="1"/>
  <c r="AA11" i="1"/>
  <c r="AD58" i="1"/>
  <c r="Z13" i="1"/>
  <c r="AA76" i="1"/>
  <c r="AA41" i="1"/>
  <c r="AE11" i="1"/>
  <c r="Z76" i="1"/>
  <c r="AC76" i="1"/>
  <c r="AB76" i="1"/>
  <c r="AD76" i="1"/>
  <c r="AC58" i="1"/>
  <c r="AA58" i="1"/>
  <c r="Z58" i="1"/>
  <c r="Z41" i="1"/>
  <c r="Y93" i="1"/>
  <c r="AD93" i="1"/>
  <c r="AC41" i="1"/>
  <c r="AB41" i="1"/>
  <c r="AD11" i="1"/>
  <c r="AC13" i="1"/>
  <c r="AB93" i="1"/>
  <c r="AC93" i="1"/>
  <c r="AB13" i="1"/>
  <c r="AE41" i="1"/>
  <c r="AB58" i="1"/>
  <c r="AA93" i="1"/>
  <c r="AD41" i="1"/>
  <c r="AD78" i="1" s="1"/>
  <c r="Z93" i="1"/>
  <c r="AF93" i="1"/>
  <c r="AF13" i="1"/>
  <c r="AF58" i="1"/>
  <c r="AE93" i="1"/>
  <c r="Y58" i="1"/>
  <c r="Y41" i="1"/>
  <c r="AE78" i="1" l="1"/>
  <c r="Z78" i="1"/>
  <c r="AA78" i="1"/>
  <c r="AB78" i="1"/>
  <c r="AC78" i="1"/>
  <c r="AF78" i="1"/>
  <c r="A6" i="1" l="1"/>
  <c r="A4" i="1"/>
  <c r="C74" i="1"/>
  <c r="C73" i="1"/>
  <c r="B17" i="8" a="1"/>
  <c r="B17" i="8" l="1"/>
  <c r="B13" i="1" l="1"/>
  <c r="B38" i="1"/>
  <c r="Q82" i="1" l="1"/>
  <c r="R82" i="1"/>
  <c r="S82" i="1"/>
  <c r="T82" i="1"/>
  <c r="U82" i="1"/>
  <c r="V82" i="1"/>
  <c r="W82" i="1"/>
  <c r="X82" i="1"/>
  <c r="Y82" i="1"/>
  <c r="X74" i="1"/>
  <c r="W74" i="1"/>
  <c r="V74" i="1"/>
  <c r="U74" i="1"/>
  <c r="T74" i="1"/>
  <c r="S74" i="1"/>
  <c r="R74" i="1"/>
  <c r="Q74" i="1"/>
  <c r="P74" i="1"/>
  <c r="O74" i="1"/>
  <c r="N74" i="1"/>
  <c r="M74" i="1"/>
  <c r="L74" i="1"/>
  <c r="K74" i="1"/>
  <c r="J74" i="1"/>
  <c r="I74" i="1"/>
  <c r="H74" i="1"/>
  <c r="G74" i="1"/>
  <c r="F74" i="1"/>
  <c r="E74" i="1"/>
  <c r="D74" i="1"/>
  <c r="B74" i="1"/>
  <c r="X73" i="1"/>
  <c r="W73" i="1"/>
  <c r="V73" i="1"/>
  <c r="U73" i="1"/>
  <c r="T73" i="1"/>
  <c r="S73" i="1"/>
  <c r="R73" i="1"/>
  <c r="Q73" i="1"/>
  <c r="P73" i="1"/>
  <c r="O73" i="1"/>
  <c r="N73" i="1"/>
  <c r="M73" i="1"/>
  <c r="L73" i="1"/>
  <c r="K73" i="1"/>
  <c r="J73" i="1"/>
  <c r="I73" i="1"/>
  <c r="H73" i="1"/>
  <c r="G73" i="1"/>
  <c r="F73" i="1"/>
  <c r="E73" i="1"/>
  <c r="D73" i="1"/>
  <c r="B73" i="1"/>
  <c r="X56" i="1"/>
  <c r="W56" i="1"/>
  <c r="V56" i="1"/>
  <c r="U56" i="1"/>
  <c r="T56" i="1"/>
  <c r="S56" i="1"/>
  <c r="R56" i="1"/>
  <c r="Q56" i="1"/>
  <c r="P56" i="1"/>
  <c r="O56" i="1"/>
  <c r="N56" i="1"/>
  <c r="M56" i="1"/>
  <c r="L56" i="1"/>
  <c r="K56" i="1"/>
  <c r="J56" i="1"/>
  <c r="I56" i="1"/>
  <c r="H56" i="1"/>
  <c r="G56" i="1"/>
  <c r="F56" i="1"/>
  <c r="E56" i="1"/>
  <c r="D56" i="1"/>
  <c r="C56" i="1"/>
  <c r="X55" i="1"/>
  <c r="W55" i="1"/>
  <c r="V55" i="1"/>
  <c r="U55" i="1"/>
  <c r="T55" i="1"/>
  <c r="S55" i="1"/>
  <c r="R55" i="1"/>
  <c r="Q55" i="1"/>
  <c r="P55" i="1"/>
  <c r="O55" i="1"/>
  <c r="N55" i="1"/>
  <c r="M55" i="1"/>
  <c r="L55" i="1"/>
  <c r="K55" i="1"/>
  <c r="J55" i="1"/>
  <c r="I55" i="1"/>
  <c r="H55" i="1"/>
  <c r="G55" i="1"/>
  <c r="F55" i="1"/>
  <c r="E55" i="1"/>
  <c r="D55" i="1"/>
  <c r="C55" i="1"/>
  <c r="P38" i="1"/>
  <c r="Q38" i="1"/>
  <c r="R38" i="1"/>
  <c r="S38" i="1"/>
  <c r="T38" i="1"/>
  <c r="U38" i="1"/>
  <c r="V38" i="1"/>
  <c r="W38" i="1"/>
  <c r="X38" i="1"/>
  <c r="Q39" i="1"/>
  <c r="R39" i="1"/>
  <c r="S39" i="1"/>
  <c r="T39" i="1"/>
  <c r="U39" i="1"/>
  <c r="V39" i="1"/>
  <c r="W39" i="1"/>
  <c r="X39" i="1"/>
  <c r="S13" i="1"/>
  <c r="J58" i="1" l="1"/>
  <c r="X93" i="1"/>
  <c r="S93" i="1"/>
  <c r="W93" i="1"/>
  <c r="U93" i="1"/>
  <c r="R93" i="1"/>
  <c r="Q93" i="1"/>
  <c r="V93" i="1"/>
  <c r="T93" i="1"/>
  <c r="B58" i="1"/>
  <c r="B76" i="1"/>
  <c r="Q76" i="1"/>
  <c r="U76" i="1"/>
  <c r="Y76" i="1"/>
  <c r="R76" i="1"/>
  <c r="V76" i="1"/>
  <c r="S76" i="1"/>
  <c r="W76" i="1"/>
  <c r="T76" i="1"/>
  <c r="X76" i="1"/>
  <c r="Q58" i="1"/>
  <c r="U58" i="1"/>
  <c r="R58" i="1"/>
  <c r="V58" i="1"/>
  <c r="S58" i="1"/>
  <c r="W58" i="1"/>
  <c r="T58" i="1"/>
  <c r="X58" i="1"/>
  <c r="S41" i="1"/>
  <c r="P39" i="1"/>
  <c r="P93" i="1" s="1"/>
  <c r="X41" i="1"/>
  <c r="U41" i="1"/>
  <c r="T41" i="1"/>
  <c r="W41" i="1"/>
  <c r="R41" i="1"/>
  <c r="V41" i="1"/>
  <c r="Q41" i="1"/>
  <c r="S11" i="1"/>
  <c r="Y13" i="1"/>
  <c r="U13" i="1"/>
  <c r="Q13" i="1"/>
  <c r="V13" i="1"/>
  <c r="R13" i="1"/>
  <c r="X13" i="1"/>
  <c r="T13" i="1"/>
  <c r="W13" i="1"/>
  <c r="Q78" i="1" l="1"/>
  <c r="Y78" i="1"/>
  <c r="V78" i="1"/>
  <c r="U78" i="1"/>
  <c r="S78" i="1"/>
  <c r="X78" i="1"/>
  <c r="T78" i="1"/>
  <c r="R78" i="1"/>
  <c r="W78" i="1"/>
  <c r="W11" i="1"/>
  <c r="R11" i="1"/>
  <c r="Q11" i="1"/>
  <c r="X11" i="1"/>
  <c r="Y11" i="1"/>
  <c r="T11" i="1"/>
  <c r="V11" i="1"/>
  <c r="U11" i="1"/>
  <c r="O13" i="1" l="1"/>
  <c r="C8" i="1"/>
  <c r="C82" i="1"/>
  <c r="D82" i="1"/>
  <c r="E82" i="1"/>
  <c r="F82" i="1"/>
  <c r="G82" i="1"/>
  <c r="H82" i="1"/>
  <c r="I82" i="1"/>
  <c r="J82" i="1"/>
  <c r="K82" i="1"/>
  <c r="L82" i="1"/>
  <c r="M82" i="1"/>
  <c r="N82" i="1"/>
  <c r="O82" i="1"/>
  <c r="P82" i="1"/>
  <c r="C38" i="1"/>
  <c r="D38" i="1"/>
  <c r="E38" i="1"/>
  <c r="F38" i="1"/>
  <c r="G38" i="1"/>
  <c r="H38" i="1"/>
  <c r="I38" i="1"/>
  <c r="J38" i="1"/>
  <c r="K38" i="1"/>
  <c r="L38" i="1"/>
  <c r="N38" i="1"/>
  <c r="O38" i="1"/>
  <c r="C39" i="1"/>
  <c r="D39" i="1"/>
  <c r="E39" i="1"/>
  <c r="F39" i="1"/>
  <c r="G39" i="1"/>
  <c r="H39" i="1"/>
  <c r="I39" i="1"/>
  <c r="J39" i="1"/>
  <c r="K39" i="1"/>
  <c r="L39" i="1"/>
  <c r="N39" i="1"/>
  <c r="O39" i="1"/>
  <c r="D58" i="1"/>
  <c r="M58" i="1"/>
  <c r="P58" i="1"/>
  <c r="C88" i="1" l="1"/>
  <c r="B88" i="1"/>
  <c r="B93" i="1"/>
  <c r="B94" i="1" s="1"/>
  <c r="N93" i="1"/>
  <c r="AD88" i="1"/>
  <c r="AE88" i="1"/>
  <c r="AF88" i="1"/>
  <c r="Z88" i="1"/>
  <c r="AA88" i="1"/>
  <c r="AB88" i="1"/>
  <c r="AC88" i="1"/>
  <c r="H93" i="1"/>
  <c r="O93" i="1"/>
  <c r="G93" i="1"/>
  <c r="D93" i="1"/>
  <c r="J88" i="1"/>
  <c r="R88" i="1"/>
  <c r="K88" i="1"/>
  <c r="S88" i="1"/>
  <c r="D88" i="1"/>
  <c r="L88" i="1"/>
  <c r="T88" i="1"/>
  <c r="E88" i="1"/>
  <c r="M88" i="1"/>
  <c r="H88" i="1"/>
  <c r="P88" i="1"/>
  <c r="Q88" i="1"/>
  <c r="U88" i="1"/>
  <c r="I88" i="1"/>
  <c r="Y88" i="1"/>
  <c r="F88" i="1"/>
  <c r="N88" i="1"/>
  <c r="V88" i="1"/>
  <c r="G88" i="1"/>
  <c r="O88" i="1"/>
  <c r="W88" i="1"/>
  <c r="X88" i="1"/>
  <c r="E93" i="1"/>
  <c r="F93" i="1"/>
  <c r="M93" i="1"/>
  <c r="L93" i="1"/>
  <c r="K93" i="1"/>
  <c r="C93" i="1"/>
  <c r="J93" i="1"/>
  <c r="I93" i="1"/>
  <c r="H41" i="1"/>
  <c r="D41" i="1"/>
  <c r="N41" i="1"/>
  <c r="K41" i="1"/>
  <c r="G41" i="1"/>
  <c r="P13" i="1"/>
  <c r="N13" i="1"/>
  <c r="K13" i="1"/>
  <c r="D13" i="1"/>
  <c r="M13" i="1"/>
  <c r="H13" i="1"/>
  <c r="G13" i="1"/>
  <c r="F13" i="1"/>
  <c r="E13" i="1"/>
  <c r="I13" i="1"/>
  <c r="L13" i="1"/>
  <c r="C13" i="1"/>
  <c r="J13" i="1"/>
  <c r="L58" i="1"/>
  <c r="O58" i="1"/>
  <c r="E58" i="1"/>
  <c r="G76" i="1"/>
  <c r="C76" i="1"/>
  <c r="I58" i="1"/>
  <c r="N76" i="1"/>
  <c r="H76" i="1"/>
  <c r="D76" i="1"/>
  <c r="C58" i="1"/>
  <c r="J76" i="1"/>
  <c r="C41" i="1"/>
  <c r="F76" i="1"/>
  <c r="P41" i="1"/>
  <c r="M76" i="1"/>
  <c r="O76" i="1"/>
  <c r="L41" i="1"/>
  <c r="O11" i="1"/>
  <c r="N58" i="1"/>
  <c r="G58" i="1"/>
  <c r="I41" i="1"/>
  <c r="E41" i="1"/>
  <c r="P76" i="1"/>
  <c r="L76" i="1"/>
  <c r="I76" i="1"/>
  <c r="E76" i="1"/>
  <c r="F58" i="1"/>
  <c r="O41" i="1"/>
  <c r="K76" i="1"/>
  <c r="K58" i="1"/>
  <c r="H58" i="1"/>
  <c r="J41" i="1"/>
  <c r="F41" i="1"/>
  <c r="B41" i="1"/>
  <c r="AE94" i="1" l="1"/>
  <c r="AF94" i="1"/>
  <c r="X94" i="1"/>
  <c r="Y94" i="1"/>
  <c r="Z94" i="1"/>
  <c r="AA94" i="1"/>
  <c r="AB94" i="1"/>
  <c r="AD94" i="1"/>
  <c r="AC94" i="1"/>
  <c r="C94" i="1"/>
  <c r="K94" i="1"/>
  <c r="S94" i="1"/>
  <c r="L94" i="1"/>
  <c r="T94" i="1"/>
  <c r="M94" i="1"/>
  <c r="U94" i="1"/>
  <c r="N94" i="1"/>
  <c r="V94" i="1"/>
  <c r="Q94" i="1"/>
  <c r="D94" i="1"/>
  <c r="E94" i="1"/>
  <c r="R94" i="1"/>
  <c r="F94" i="1"/>
  <c r="G94" i="1"/>
  <c r="O94" i="1"/>
  <c r="W94" i="1"/>
  <c r="P94" i="1"/>
  <c r="J94" i="1"/>
  <c r="H94" i="1"/>
  <c r="I94" i="1"/>
  <c r="D78" i="1"/>
  <c r="G78" i="1"/>
  <c r="P78" i="1"/>
  <c r="H78" i="1"/>
  <c r="D11" i="1"/>
  <c r="H11" i="1"/>
  <c r="J11" i="1"/>
  <c r="P11" i="1"/>
  <c r="E11" i="1"/>
  <c r="M11" i="1"/>
  <c r="O78" i="1"/>
  <c r="I78" i="1"/>
  <c r="N11" i="1"/>
  <c r="C11" i="1"/>
  <c r="F11" i="1"/>
  <c r="G11" i="1"/>
  <c r="K11" i="1"/>
  <c r="I11" i="1"/>
  <c r="L11" i="1"/>
  <c r="C78" i="1"/>
  <c r="N78" i="1"/>
  <c r="J78" i="1"/>
  <c r="M78" i="1"/>
  <c r="E78" i="1"/>
  <c r="L78" i="1"/>
  <c r="B78" i="1"/>
  <c r="B85" i="1" s="1"/>
  <c r="K78" i="1"/>
  <c r="F78" i="1"/>
  <c r="B95" i="1" l="1"/>
  <c r="B91" i="1" s="1"/>
  <c r="B92" i="1" s="1"/>
  <c r="B84" i="1"/>
  <c r="B89" i="1" l="1"/>
  <c r="B86" i="1" s="1"/>
  <c r="C83" i="1"/>
  <c r="C95" i="1" l="1"/>
  <c r="C91" i="1" s="1"/>
  <c r="C92" i="1" s="1"/>
  <c r="C85" i="1"/>
  <c r="C84" i="1"/>
  <c r="C89" i="1" l="1"/>
  <c r="C86" i="1" s="1"/>
  <c r="D83" i="1"/>
  <c r="D84" i="1" s="1"/>
  <c r="D89" i="1" s="1"/>
  <c r="D86" i="1" s="1"/>
  <c r="D95" i="1" l="1"/>
  <c r="D91" i="1" s="1"/>
  <c r="D92" i="1" s="1"/>
  <c r="D85" i="1"/>
  <c r="E83" i="1"/>
  <c r="E95" i="1" l="1"/>
  <c r="E91" i="1" s="1"/>
  <c r="E92" i="1" s="1"/>
  <c r="E85" i="1"/>
  <c r="E84" i="1"/>
  <c r="E89" i="1" s="1"/>
  <c r="E86" i="1" s="1"/>
  <c r="F83" i="1" l="1"/>
  <c r="F95" i="1" l="1"/>
  <c r="F91" i="1" s="1"/>
  <c r="F92" i="1" s="1"/>
  <c r="F85" i="1"/>
  <c r="F84" i="1"/>
  <c r="F89" i="1" s="1"/>
  <c r="F86" i="1" s="1"/>
  <c r="G83" i="1" l="1"/>
  <c r="G95" i="1" l="1"/>
  <c r="G91" i="1" s="1"/>
  <c r="G92" i="1" s="1"/>
  <c r="G85" i="1"/>
  <c r="G84" i="1"/>
  <c r="G89" i="1" l="1"/>
  <c r="G86" i="1" s="1"/>
  <c r="H83" i="1"/>
  <c r="H95" i="1" l="1"/>
  <c r="H91" i="1" s="1"/>
  <c r="H92" i="1" s="1"/>
  <c r="H85" i="1"/>
  <c r="H84" i="1"/>
  <c r="H89" i="1" s="1"/>
  <c r="H86" i="1" s="1"/>
  <c r="I83" i="1" l="1"/>
  <c r="I95" i="1" l="1"/>
  <c r="I91" i="1" s="1"/>
  <c r="I92" i="1" s="1"/>
  <c r="I85" i="1"/>
  <c r="I84" i="1"/>
  <c r="I89" i="1" s="1"/>
  <c r="I86" i="1" s="1"/>
  <c r="J83" i="1" l="1"/>
  <c r="J95" i="1" l="1"/>
  <c r="J91" i="1" s="1"/>
  <c r="J92" i="1" s="1"/>
  <c r="J85" i="1"/>
  <c r="J84" i="1"/>
  <c r="J89" i="1" s="1"/>
  <c r="J86" i="1" s="1"/>
  <c r="K83" i="1" l="1"/>
  <c r="K95" i="1" l="1"/>
  <c r="K91" i="1" s="1"/>
  <c r="K92" i="1" s="1"/>
  <c r="K85" i="1"/>
  <c r="K84" i="1"/>
  <c r="K89" i="1" l="1"/>
  <c r="K86" i="1" s="1"/>
  <c r="L83" i="1"/>
  <c r="L95" i="1" l="1"/>
  <c r="L91" i="1" s="1"/>
  <c r="L92" i="1" s="1"/>
  <c r="L85" i="1"/>
  <c r="L84" i="1"/>
  <c r="L89" i="1" s="1"/>
  <c r="L86" i="1" s="1"/>
  <c r="M83" i="1" l="1"/>
  <c r="M95" i="1" l="1"/>
  <c r="M91" i="1" s="1"/>
  <c r="M92" i="1" s="1"/>
  <c r="M85" i="1"/>
  <c r="M84" i="1"/>
  <c r="M89" i="1" s="1"/>
  <c r="M86" i="1" s="1"/>
  <c r="N83" i="1" l="1"/>
  <c r="N95" i="1" l="1"/>
  <c r="N91" i="1" s="1"/>
  <c r="N92" i="1" s="1"/>
  <c r="N85" i="1"/>
  <c r="N84" i="1"/>
  <c r="N89" i="1" s="1"/>
  <c r="N86" i="1" s="1"/>
  <c r="O83" i="1" l="1"/>
  <c r="O95" i="1" l="1"/>
  <c r="O91" i="1" s="1"/>
  <c r="O92" i="1" s="1"/>
  <c r="O85" i="1"/>
  <c r="O84" i="1"/>
  <c r="O89" i="1" l="1"/>
  <c r="O86" i="1" s="1"/>
  <c r="P83" i="1"/>
  <c r="P95" i="1" l="1"/>
  <c r="P91" i="1" s="1"/>
  <c r="P92" i="1" s="1"/>
  <c r="P85" i="1"/>
  <c r="P84" i="1"/>
  <c r="P89" i="1" s="1"/>
  <c r="P86" i="1" s="1"/>
  <c r="A14" i="1" l="1"/>
  <c r="Q83" i="1"/>
  <c r="Q95" i="1" l="1"/>
  <c r="Q91" i="1" s="1"/>
  <c r="Q92" i="1" s="1"/>
  <c r="Q85" i="1"/>
  <c r="Q84" i="1"/>
  <c r="Q89" i="1" s="1"/>
  <c r="Q86" i="1" s="1"/>
  <c r="R83" i="1" l="1"/>
  <c r="R95" i="1" l="1"/>
  <c r="R91" i="1" s="1"/>
  <c r="R92" i="1" s="1"/>
  <c r="R85" i="1"/>
  <c r="R84" i="1"/>
  <c r="R89" i="1" s="1"/>
  <c r="R86" i="1" s="1"/>
  <c r="S83" i="1" l="1"/>
  <c r="S95" i="1" l="1"/>
  <c r="S91" i="1" s="1"/>
  <c r="S92" i="1" s="1"/>
  <c r="S85" i="1"/>
  <c r="S84" i="1"/>
  <c r="S89" i="1" l="1"/>
  <c r="S86" i="1" s="1"/>
  <c r="T83" i="1"/>
  <c r="T95" i="1" l="1"/>
  <c r="T91" i="1" s="1"/>
  <c r="T92" i="1" s="1"/>
  <c r="T85" i="1"/>
  <c r="T84" i="1"/>
  <c r="T89" i="1" s="1"/>
  <c r="T86" i="1" s="1"/>
  <c r="U83" i="1" l="1"/>
  <c r="U95" i="1" l="1"/>
  <c r="U91" i="1" s="1"/>
  <c r="U92" i="1" s="1"/>
  <c r="U85" i="1"/>
  <c r="U84" i="1"/>
  <c r="U89" i="1" s="1"/>
  <c r="U86" i="1" s="1"/>
  <c r="V83" i="1" l="1"/>
  <c r="V95" i="1" l="1"/>
  <c r="V91" i="1" s="1"/>
  <c r="V92" i="1" s="1"/>
  <c r="V85" i="1"/>
  <c r="V84" i="1"/>
  <c r="V89" i="1" s="1"/>
  <c r="V86" i="1" s="1"/>
  <c r="W83" i="1" l="1"/>
  <c r="W95" i="1" l="1"/>
  <c r="W91" i="1" s="1"/>
  <c r="W92" i="1" s="1"/>
  <c r="W85" i="1"/>
  <c r="W84" i="1"/>
  <c r="W89" i="1" l="1"/>
  <c r="W86" i="1" s="1"/>
  <c r="X83" i="1"/>
  <c r="X95" i="1" l="1"/>
  <c r="X91" i="1" s="1"/>
  <c r="X92" i="1" s="1"/>
  <c r="X85" i="1"/>
  <c r="X84" i="1"/>
  <c r="X89" i="1" l="1"/>
  <c r="X86" i="1" s="1"/>
  <c r="Y83" i="1"/>
  <c r="Y95" i="1" l="1"/>
  <c r="Y91" i="1" s="1"/>
  <c r="Y92" i="1" s="1"/>
  <c r="Y85" i="1"/>
  <c r="Y84" i="1"/>
  <c r="Y89" i="1" l="1"/>
  <c r="Y86" i="1" s="1"/>
  <c r="Z83" i="1"/>
  <c r="Z95" i="1" l="1"/>
  <c r="Z91" i="1" s="1"/>
  <c r="Z92" i="1" s="1"/>
  <c r="Z85" i="1"/>
  <c r="Z84" i="1"/>
  <c r="Z89" i="1" l="1"/>
  <c r="Z86" i="1"/>
  <c r="AA83" i="1"/>
  <c r="AA95" i="1" l="1"/>
  <c r="AA91" i="1" s="1"/>
  <c r="AA92" i="1" s="1"/>
  <c r="AA85" i="1"/>
  <c r="AA84" i="1"/>
  <c r="AA89" i="1" l="1"/>
  <c r="AA86" i="1" s="1"/>
  <c r="AB83" i="1"/>
  <c r="AB95" i="1" l="1"/>
  <c r="AB91" i="1" s="1"/>
  <c r="AB92" i="1" s="1"/>
  <c r="AB85" i="1"/>
  <c r="AB84" i="1"/>
  <c r="AB89" i="1" l="1"/>
  <c r="AB86" i="1"/>
  <c r="AC83" i="1"/>
  <c r="AC95" i="1" l="1"/>
  <c r="AC91" i="1" s="1"/>
  <c r="AC92" i="1" s="1"/>
  <c r="AC85" i="1"/>
  <c r="AC84" i="1"/>
  <c r="AC86" i="1" l="1"/>
  <c r="AC89" i="1"/>
  <c r="AD83" i="1"/>
  <c r="AD95" i="1" l="1"/>
  <c r="AD91" i="1" s="1"/>
  <c r="AD92" i="1" s="1"/>
  <c r="AD85" i="1"/>
  <c r="AD84" i="1"/>
  <c r="AD89" i="1" l="1"/>
  <c r="AD86" i="1"/>
  <c r="AE83" i="1"/>
  <c r="AE95" i="1" l="1"/>
  <c r="AE91" i="1" s="1"/>
  <c r="AE92" i="1" s="1"/>
  <c r="AE85" i="1"/>
  <c r="AE84" i="1"/>
  <c r="AE89" i="1" l="1"/>
  <c r="AE86" i="1"/>
  <c r="AF83" i="1"/>
  <c r="AF95" i="1" l="1"/>
  <c r="AF91" i="1" s="1"/>
  <c r="AF92" i="1" s="1"/>
  <c r="AF85" i="1"/>
  <c r="AF84" i="1"/>
  <c r="AF89" i="1" l="1"/>
  <c r="AF8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TRUSCA, Cristina</author>
    <author>COOLEY, Jenny</author>
  </authors>
  <commentList>
    <comment ref="A19" authorId="0" shapeId="0" xr:uid="{1FD383A6-454F-43B6-AD63-C98852362187}">
      <text>
        <r>
          <rPr>
            <sz val="9"/>
            <color indexed="81"/>
            <rFont val="Tahoma"/>
            <family val="2"/>
          </rPr>
          <t>If Provider Relief Scheme receipts are covering AEB Delivery, please include here.</t>
        </r>
      </text>
    </comment>
    <comment ref="A20" authorId="0" shapeId="0" xr:uid="{4039A9C5-8245-4C73-9AC1-237E0C7A68F9}">
      <text>
        <r>
          <rPr>
            <sz val="9"/>
            <color indexed="81"/>
            <rFont val="Tahoma"/>
            <family val="2"/>
          </rPr>
          <t xml:space="preserve">If Provider Relief Scheme receipts are covering Non Levy Apprenticeships, please here. 
</t>
        </r>
      </text>
    </comment>
    <comment ref="A23" authorId="1" shapeId="0" xr:uid="{BA745052-374A-447F-A7A3-BF70849399E4}">
      <text>
        <r>
          <rPr>
            <sz val="9"/>
            <color indexed="81"/>
            <rFont val="Tahoma"/>
            <family val="2"/>
          </rPr>
          <t>Please include Coronavirus Job Retention Scheme receipts here.</t>
        </r>
      </text>
    </comment>
    <comment ref="A86" authorId="1" shapeId="0" xr:uid="{084718FE-4FA5-4AB5-8958-1E9AA4E1ABA6}">
      <text>
        <r>
          <rPr>
            <sz val="9"/>
            <color indexed="81"/>
            <rFont val="Tahoma"/>
            <family val="2"/>
          </rPr>
          <t>This definition estimates the days until a deficit if, from the cash position at the end of the month, all receipts were stopped and only operating payments continued. 
A "+" indicates that there is sufficient cash to cover all outstanding modelled payments.</t>
        </r>
      </text>
    </comment>
    <comment ref="A91" authorId="1" shapeId="0" xr:uid="{4FD967C7-B634-4417-9921-53B3983DAD8F}">
      <text>
        <r>
          <rPr>
            <sz val="9"/>
            <color indexed="81"/>
            <rFont val="Tahoma"/>
            <family val="2"/>
          </rPr>
          <t>This definition estimates the days until a deficit if, from the cash position at the start of the month, all receipts were stopped and all payments continued.
A "+" indicates that there is sufficient cash to cover all outstanding modelled payments.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Colleges" description="Connection to the 'Colleges' query in the workbook." type="5" refreshedVersion="6" background="1" saveData="1">
    <dbPr connection="Provider=Microsoft.Mashup.OleDb.1;Data Source=$Workbook$;Location=Colleges;Extended Properties=&quot;&quot;" command="SELECT * FROM [Colleges]"/>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<sst xmlns="http://schemas.openxmlformats.org/spreadsheetml/2006/main" count="1095" uniqueCount="630">
  <si>
    <t>Cash flow forecast template</t>
  </si>
  <si>
    <t>What is this template for?</t>
  </si>
  <si>
    <t>This cash flow template has been developed by  Education and Skills Funding Agency (ESFA) as part of an ongoing effort to work with colleges to identify operational risks sooner.  This effort aims at focusing the information we collect to that most relevant to preventing issues early while reducing burden on providers.</t>
  </si>
  <si>
    <t>How to fill out the template</t>
  </si>
  <si>
    <t xml:space="preserve">Please ensure that you complete this template in this format without linking to other workbooks. </t>
  </si>
  <si>
    <t>Please start by completing the Cover Sheet.</t>
  </si>
  <si>
    <t>Please then proceed to fill out all of the salmon coloured data entry cells with your data.</t>
  </si>
  <si>
    <t xml:space="preserve">If you use the "Other" line then please include a description. </t>
  </si>
  <si>
    <t>It is important that you enter numbers in thousands of pounds (£'000) so that we can collate information effectively.</t>
  </si>
  <si>
    <r>
      <t xml:space="preserve">Please include any </t>
    </r>
    <r>
      <rPr>
        <b/>
        <sz val="11"/>
        <color theme="1"/>
        <rFont val="Calibri"/>
        <family val="2"/>
        <scheme val="minor"/>
      </rPr>
      <t>Coronavirus Job Retention Scheme</t>
    </r>
    <r>
      <rPr>
        <sz val="11"/>
        <color theme="1"/>
        <rFont val="Calibri"/>
        <family val="2"/>
        <scheme val="minor"/>
      </rPr>
      <t xml:space="preserve"> (CJRS) receipts in the line "Other funding body grants" under Operating Receipts.</t>
    </r>
  </si>
  <si>
    <r>
      <t xml:space="preserve">If </t>
    </r>
    <r>
      <rPr>
        <b/>
        <sz val="11"/>
        <color theme="1"/>
        <rFont val="Calibri"/>
        <family val="2"/>
        <scheme val="minor"/>
      </rPr>
      <t>Provider Relief Scheme</t>
    </r>
    <r>
      <rPr>
        <sz val="11"/>
        <color theme="1"/>
        <rFont val="Calibri"/>
        <family val="2"/>
        <scheme val="minor"/>
      </rPr>
      <t xml:space="preserve"> receipts are covering AEB delivery please include these receipts in the line "Core Non Apprenticeship Funding", under Operating Receipts. Otherwise, if </t>
    </r>
    <r>
      <rPr>
        <b/>
        <sz val="11"/>
        <color theme="1"/>
        <rFont val="Calibri"/>
        <family val="2"/>
        <scheme val="minor"/>
      </rPr>
      <t>Provider Relief Scheme</t>
    </r>
    <r>
      <rPr>
        <sz val="11"/>
        <color theme="1"/>
        <rFont val="Calibri"/>
        <family val="2"/>
        <scheme val="minor"/>
      </rPr>
      <t xml:space="preserve"> receipts are covering Non Levy Apprenticeships, please include those receipts in the line "Core Apprenticeship Funding", under Operating Receipts.</t>
    </r>
  </si>
  <si>
    <t>Returning the template to us</t>
  </si>
  <si>
    <t>This return is being used to assist regular monitoring of Colleges and to assist Colleges where they do not complete a similar cash forecast of their own.</t>
  </si>
  <si>
    <t>Version</t>
  </si>
  <si>
    <t>Cover Sheet and Accounting Officer's Declaration</t>
  </si>
  <si>
    <t>College name:</t>
  </si>
  <si>
    <t>SELECT COLLEGE FROM DROP DOWN LIST</t>
  </si>
  <si>
    <t>College type</t>
  </si>
  <si>
    <t>College code</t>
  </si>
  <si>
    <t>College UPIN</t>
  </si>
  <si>
    <t>College UKPRN</t>
  </si>
  <si>
    <t>I confirm that the information in this return is consistent with the cash flow in the latest management accounts as reported to governors.</t>
  </si>
  <si>
    <t>SELECT FROM LIST</t>
  </si>
  <si>
    <t>I confirm that the supporting commentary has been prepared with due regard to the guidance for Colleges.</t>
  </si>
  <si>
    <t>Accounting Offcer's Declaration</t>
  </si>
  <si>
    <t>In completing my name and date in line 8 below, I confirm that the declarations selected in lines 3 - 5 are correct, and that the typing of my name and date serve as my digital signature.</t>
  </si>
  <si>
    <t>Name</t>
  </si>
  <si>
    <t>Date</t>
  </si>
  <si>
    <t>Contact for queries</t>
  </si>
  <si>
    <t>Telephone number</t>
  </si>
  <si>
    <t>Email address</t>
  </si>
  <si>
    <t>YES</t>
  </si>
  <si>
    <t>NO</t>
  </si>
  <si>
    <t>Monthly cash flow forecast</t>
  </si>
  <si>
    <t>College UKPRN:</t>
  </si>
  <si>
    <t xml:space="preserve">College Name: </t>
  </si>
  <si>
    <t>Forecast start date:</t>
  </si>
  <si>
    <t>OPTIONAL</t>
  </si>
  <si>
    <r>
      <t>Year Ending 31</t>
    </r>
    <r>
      <rPr>
        <b/>
        <vertAlign val="superscript"/>
        <sz val="11"/>
        <color theme="0"/>
        <rFont val="Calibri"/>
        <family val="2"/>
        <scheme val="minor"/>
      </rPr>
      <t>st</t>
    </r>
    <r>
      <rPr>
        <b/>
        <sz val="11"/>
        <color theme="0"/>
        <rFont val="Calibri"/>
        <family val="2"/>
        <scheme val="minor"/>
      </rPr>
      <t xml:space="preserve"> July:</t>
    </r>
  </si>
  <si>
    <t>Month</t>
  </si>
  <si>
    <t>(£'000)</t>
  </si>
  <si>
    <t>Operating Receipts (£'000)</t>
  </si>
  <si>
    <t>Description</t>
  </si>
  <si>
    <t>Month 1</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</si>
  <si>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</si>
  <si>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</si>
  <si>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</si>
  <si>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</si>
  <si>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</si>
  <si>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</si>
  <si>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</si>
  <si>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</si>
  <si>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</si>
  <si>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</si>
  <si>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</si>
  <si>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</si>
  <si>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</si>
  <si>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</si>
  <si>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</si>
  <si>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</si>
  <si>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</si>
  <si>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</si>
  <si>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</si>
  <si>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</si>
  <si>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</si>
  <si>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</si>
  <si>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</si>
  <si>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Column1</t>
  </si>
  <si>
    <t>Column2</t>
  </si>
  <si>
    <t>Column3</t>
  </si>
  <si>
    <t>Column4</t>
  </si>
  <si>
    <t>Column5</t>
  </si>
  <si>
    <t>Column6</t>
  </si>
  <si>
    <t>Column7</t>
  </si>
  <si>
    <t xml:space="preserve">Core 14-16 funding (excl apprenticeships) </t>
  </si>
  <si>
    <t xml:space="preserve">Core 16-19 funding (excl apprenticeships) </t>
  </si>
  <si>
    <t xml:space="preserve">Core Non Apprenticeship Funding </t>
  </si>
  <si>
    <t xml:space="preserve">Core Apprenticeship funding </t>
  </si>
  <si>
    <t>Other 16-19/App/Non-App Income</t>
  </si>
  <si>
    <t xml:space="preserve">OfS grants </t>
  </si>
  <si>
    <t xml:space="preserve">Other funding body grants </t>
  </si>
  <si>
    <t xml:space="preserve">Advancer Learner Loans </t>
  </si>
  <si>
    <t xml:space="preserve">Higher education courses designated for HE Loans 
</t>
  </si>
  <si>
    <t xml:space="preserve">Other tuition fees and education contracts </t>
  </si>
  <si>
    <t xml:space="preserve">Other income generating activities </t>
  </si>
  <si>
    <t>Other  (insert description)</t>
  </si>
  <si>
    <t>Operating Payments (£'000)</t>
  </si>
  <si>
    <t>Column8</t>
  </si>
  <si>
    <t>Column9</t>
  </si>
  <si>
    <t>Column10</t>
  </si>
  <si>
    <t>Column11</t>
  </si>
  <si>
    <t>Column12</t>
  </si>
  <si>
    <t>Column13</t>
  </si>
  <si>
    <t>Column14</t>
  </si>
  <si>
    <t>Column52</t>
  </si>
  <si>
    <t>Column53</t>
  </si>
  <si>
    <t>Staff costs (excl restructuring)</t>
  </si>
  <si>
    <t>Staff restructuring costs</t>
  </si>
  <si>
    <t>Reconciliation adjustment relating to prior year 
funding</t>
  </si>
  <si>
    <t>Total other operating expenditure</t>
  </si>
  <si>
    <t>Other  ( i.e. VAT)</t>
  </si>
  <si>
    <t>Total Operating Receipts</t>
  </si>
  <si>
    <t>Total Operating Payments</t>
  </si>
  <si>
    <t>Operating Surplus / Deficit</t>
  </si>
  <si>
    <t>Investing Receipts (£'000)</t>
  </si>
  <si>
    <t>Capital grant income</t>
  </si>
  <si>
    <t>Land sale receipts</t>
  </si>
  <si>
    <t>Investing Payments (£'000)</t>
  </si>
  <si>
    <t>Land and buildings capex</t>
  </si>
  <si>
    <t>Equipment</t>
  </si>
  <si>
    <t>Total Investing Receipts</t>
  </si>
  <si>
    <t>Total Investing Payments</t>
  </si>
  <si>
    <t>Net investing receipts and payments</t>
  </si>
  <si>
    <t>Financing Receipts (£'000)</t>
  </si>
  <si>
    <t>Commercial borrowing</t>
  </si>
  <si>
    <t>Restructuring Facility / Exceptional Fin. Support</t>
  </si>
  <si>
    <t>Interest income</t>
  </si>
  <si>
    <t>Financing Payments (£'000)</t>
  </si>
  <si>
    <t>Interest payments</t>
  </si>
  <si>
    <t>Loan repayments</t>
  </si>
  <si>
    <t>Total Financing Receipts</t>
  </si>
  <si>
    <t>Total Financing Payments</t>
  </si>
  <si>
    <t>Net financing receipts and payments</t>
  </si>
  <si>
    <t>Net Cash flow</t>
  </si>
  <si>
    <t>Overdraft/RCF available</t>
  </si>
  <si>
    <t>Overdraft for graph</t>
  </si>
  <si>
    <t>Opening cash</t>
  </si>
  <si>
    <t>Closing cash</t>
  </si>
  <si>
    <t xml:space="preserve">Cash for graph </t>
  </si>
  <si>
    <t>Cash days (operating pmts only)</t>
  </si>
  <si>
    <t>Cash days trigger for graph</t>
  </si>
  <si>
    <t>Cumulative operating payments</t>
  </si>
  <si>
    <t>Cash months</t>
  </si>
  <si>
    <t>Cash days (all pmts based from the start of month)</t>
  </si>
  <si>
    <t>Cash days for graph</t>
  </si>
  <si>
    <t>Total Payments</t>
  </si>
  <si>
    <t>Cumulative total payments</t>
  </si>
  <si>
    <t>code</t>
  </si>
  <si>
    <t>UPIN</t>
  </si>
  <si>
    <t>UKPRN</t>
  </si>
  <si>
    <t>SELECT COLLEGE</t>
  </si>
  <si>
    <t>ABINGDON AND WITNEY COLLEGE</t>
  </si>
  <si>
    <t>GFEC</t>
  </si>
  <si>
    <t>ABING</t>
  </si>
  <si>
    <t>ACTIVATE LEARNING</t>
  </si>
  <si>
    <t>OXFFE</t>
  </si>
  <si>
    <t>ADA NATIONAL COLLEGE FOR DIGITAL SKILLS</t>
  </si>
  <si>
    <t>NCDSK</t>
  </si>
  <si>
    <t>AQUINAS COLLEGE</t>
  </si>
  <si>
    <t>SFC</t>
  </si>
  <si>
    <t>AQUIN</t>
  </si>
  <si>
    <t>ASKHAM BRYAN COLLEGE</t>
  </si>
  <si>
    <t>A&amp;HC</t>
  </si>
  <si>
    <t>ASKBR</t>
  </si>
  <si>
    <t>AYLESBURY COLLEGE</t>
  </si>
  <si>
    <t>AYLES</t>
  </si>
  <si>
    <t>BARKING AND DAGENHAM COLLEGE</t>
  </si>
  <si>
    <t>BARKG</t>
  </si>
  <si>
    <t>BARNET &amp; SOUTHGATE COLLEGE</t>
  </si>
  <si>
    <t>BARNT</t>
  </si>
  <si>
    <t>BARNSLEY COLLEGE</t>
  </si>
  <si>
    <t>TC</t>
  </si>
  <si>
    <t>BNSLY</t>
  </si>
  <si>
    <t>BARTON PEVERIL SIXTH FORM COLLEGE</t>
  </si>
  <si>
    <t>BARPE</t>
  </si>
  <si>
    <t>BASINGSTOKE COLLEGE OF TECHNOLOGY</t>
  </si>
  <si>
    <t>BASNG</t>
  </si>
  <si>
    <t>BATH COLLEGE</t>
  </si>
  <si>
    <t>CYBAT</t>
  </si>
  <si>
    <t>BEDFORD COLLEGE</t>
  </si>
  <si>
    <t>BEDFD</t>
  </si>
  <si>
    <t>BERKSHIRE COLLEGE OF AGRICULTURE, THE (BCA)</t>
  </si>
  <si>
    <t>BRKAH</t>
  </si>
  <si>
    <t>BEXHILL COLLEGE</t>
  </si>
  <si>
    <t>BEXHL</t>
  </si>
  <si>
    <t>BIRMINGHAM METROPOLITAN COLLEGE</t>
  </si>
  <si>
    <t>SUTTN</t>
  </si>
  <si>
    <t>BISHOP AUCKLAND COLLEGE</t>
  </si>
  <si>
    <t>BSHAU</t>
  </si>
  <si>
    <t>BISHOP BURTON COLLEGE</t>
  </si>
  <si>
    <t>BISBU</t>
  </si>
  <si>
    <t>BLACKBURN COLLEGE</t>
  </si>
  <si>
    <t>BBURN</t>
  </si>
  <si>
    <t>BLACKPOOL AND THE FYLDE COLLEGE</t>
  </si>
  <si>
    <t>BFYLD</t>
  </si>
  <si>
    <t>BOLTON COLLEGE</t>
  </si>
  <si>
    <t>DC</t>
  </si>
  <si>
    <t>BOLCL</t>
  </si>
  <si>
    <t>BOLTON SIXTH FORM COLLEGE</t>
  </si>
  <si>
    <t>BLNSF</t>
  </si>
  <si>
    <t>BOSTON COLLEGE</t>
  </si>
  <si>
    <t>BOSTO</t>
  </si>
  <si>
    <t>BOURNEMOUTH AND POOLE COLLEGE, THE</t>
  </si>
  <si>
    <t>BPCFE</t>
  </si>
  <si>
    <t>BRADFORD COLLEGE</t>
  </si>
  <si>
    <t>BRILK</t>
  </si>
  <si>
    <t>BRIDGWATER AND TAUNTON COLLEGE</t>
  </si>
  <si>
    <t>BRIDG</t>
  </si>
  <si>
    <t>BRIGHTON HOVE AND SUSSEX SIXTH FORM COLLEGE</t>
  </si>
  <si>
    <t>BRIHO</t>
  </si>
  <si>
    <t>BROCKENHURST COLLEGE</t>
  </si>
  <si>
    <t>BROCK</t>
  </si>
  <si>
    <t>BROOKLANDS COLLEGE</t>
  </si>
  <si>
    <t>BRKLD</t>
  </si>
  <si>
    <t>BURNLEY COLLEGE</t>
  </si>
  <si>
    <t>BRNLY</t>
  </si>
  <si>
    <t>BURTON AND SOUTH DERBYSHIRE COLLEGE</t>
  </si>
  <si>
    <t>BURTN</t>
  </si>
  <si>
    <t>BURY COLLEGE</t>
  </si>
  <si>
    <t>BURYC</t>
  </si>
  <si>
    <t>CALDERDALE COLLEGE</t>
  </si>
  <si>
    <t>CALDE</t>
  </si>
  <si>
    <t>CAMBRIDGE REGIONAL COLLEGE</t>
  </si>
  <si>
    <t>CAMRE</t>
  </si>
  <si>
    <t>CAPEL MANOR COLLEGE</t>
  </si>
  <si>
    <t>CAPEL</t>
  </si>
  <si>
    <t>CARDINAL NEWMAN COLLEGE</t>
  </si>
  <si>
    <t>CARNE</t>
  </si>
  <si>
    <t>CARMEL COLLEGE</t>
  </si>
  <si>
    <t>CARML</t>
  </si>
  <si>
    <t>CENTRAL BEDFORDSHIRE COLLEGE</t>
  </si>
  <si>
    <t>DUNST</t>
  </si>
  <si>
    <t>CHEADLE AND MARPLE SIXTH FORM COLLEGE</t>
  </si>
  <si>
    <t>RIDGE</t>
  </si>
  <si>
    <t>CHELMSFORD COLLEGE</t>
  </si>
  <si>
    <t>CHELM</t>
  </si>
  <si>
    <t>CHESHIRE COLLEGE SOUTH AND WEST</t>
  </si>
  <si>
    <t>SOCHE</t>
  </si>
  <si>
    <t>CHESTERFIELD COLLEGE</t>
  </si>
  <si>
    <t>CHSTF</t>
  </si>
  <si>
    <t>CHICHESTER COLLEGE GROUP</t>
  </si>
  <si>
    <t>CHICH</t>
  </si>
  <si>
    <t>CHRIST THE KING SIXTH FORM COLLEGE</t>
  </si>
  <si>
    <t>CHKIN</t>
  </si>
  <si>
    <t>CIRENCESTER COLLEGE</t>
  </si>
  <si>
    <t>CIREN</t>
  </si>
  <si>
    <t>CITY COLLEGE NORWICH</t>
  </si>
  <si>
    <t>NRWCH</t>
  </si>
  <si>
    <t>CITY COLLEGE PLYMOUTH</t>
  </si>
  <si>
    <t>PLYFE</t>
  </si>
  <si>
    <t>CITY OF BRISTOL COLLEGE</t>
  </si>
  <si>
    <t>CTBRI</t>
  </si>
  <si>
    <t>CITY OF SUNDERLAND COLLEGE</t>
  </si>
  <si>
    <t>CTSUN</t>
  </si>
  <si>
    <t>CITY OF WOLVERHAMPTON COLLEGE</t>
  </si>
  <si>
    <t>WOLVE</t>
  </si>
  <si>
    <t>COLCHESTER INSTITUTE</t>
  </si>
  <si>
    <t>CLHIN</t>
  </si>
  <si>
    <t>CORNWALL COLLEGE</t>
  </si>
  <si>
    <t>CORNL</t>
  </si>
  <si>
    <t>COVENTRY COLLEGE</t>
  </si>
  <si>
    <t>HENCO</t>
  </si>
  <si>
    <t>CRAVEN COLLEGE</t>
  </si>
  <si>
    <t>CRAVN</t>
  </si>
  <si>
    <t>CROYDON COLLEGE</t>
  </si>
  <si>
    <t>CROYD</t>
  </si>
  <si>
    <t>DARLINGTON COLLEGE</t>
  </si>
  <si>
    <t>DARLN</t>
  </si>
  <si>
    <t>DCG</t>
  </si>
  <si>
    <t>DERBY</t>
  </si>
  <si>
    <t>DERWENTSIDE COLLEGE</t>
  </si>
  <si>
    <t>DERWE</t>
  </si>
  <si>
    <t>DN COLLEGES GROUP</t>
  </si>
  <si>
    <t>NTLND</t>
  </si>
  <si>
    <t>DUDLEY COLLEGE OF TECHNOLOGY</t>
  </si>
  <si>
    <t>DUDLY</t>
  </si>
  <si>
    <t>EALING, HAMMERSMITH &amp; WEST LONDON COLLEGE</t>
  </si>
  <si>
    <t>HAMWL</t>
  </si>
  <si>
    <t>EAST COAST COLLEGE</t>
  </si>
  <si>
    <t>LWSFT</t>
  </si>
  <si>
    <t>EAST DURHAM COLLEGE</t>
  </si>
  <si>
    <t>EDHCC</t>
  </si>
  <si>
    <t>EAST RIDING COLLEGE</t>
  </si>
  <si>
    <t>BEVER</t>
  </si>
  <si>
    <t>EAST SURREY COLLEGE</t>
  </si>
  <si>
    <t>ESURR</t>
  </si>
  <si>
    <t>EAST SUSSEX COLLEGE GROUP</t>
  </si>
  <si>
    <t>HASTG</t>
  </si>
  <si>
    <t>EASTLEIGH COLLEGE</t>
  </si>
  <si>
    <t>ESTLH</t>
  </si>
  <si>
    <t>EKC GROUP</t>
  </si>
  <si>
    <t>THANT</t>
  </si>
  <si>
    <t>EXETER COLLEGE</t>
  </si>
  <si>
    <t>EXETE</t>
  </si>
  <si>
    <t>FAREHAM COLLEGE</t>
  </si>
  <si>
    <t>FAREH</t>
  </si>
  <si>
    <t>FARNBOROUGH COLLEGE OF TECHNOLOGY</t>
  </si>
  <si>
    <t>FCOTF</t>
  </si>
  <si>
    <t>FIRCROFT COLLEGE OF ADULT EDUCATION</t>
  </si>
  <si>
    <t>FIRCR</t>
  </si>
  <si>
    <t>FRANKLIN COLLEGE</t>
  </si>
  <si>
    <t>FRNKN</t>
  </si>
  <si>
    <t>FURNESS COLLEGE</t>
  </si>
  <si>
    <t>FURNE</t>
  </si>
  <si>
    <t>GATESHEAD COLLEGE</t>
  </si>
  <si>
    <t>GATHD</t>
  </si>
  <si>
    <t>GLOUCESTERSHIRE COLLEGE</t>
  </si>
  <si>
    <t>GLOUC</t>
  </si>
  <si>
    <t>GRANTHAM COLLEGE</t>
  </si>
  <si>
    <t>GRANT</t>
  </si>
  <si>
    <t>GREATER BRIGHTON METROPOLITAN COLLEGE</t>
  </si>
  <si>
    <t>NBROK</t>
  </si>
  <si>
    <t>GREENHEAD COLLEGE</t>
  </si>
  <si>
    <t>GRHED</t>
  </si>
  <si>
    <t>HADLOW COLLEGE</t>
  </si>
  <si>
    <t>HADLO</t>
  </si>
  <si>
    <t>HALESOWEN COLLEGE</t>
  </si>
  <si>
    <t>HALES</t>
  </si>
  <si>
    <t>HARLOW COLLEGE</t>
  </si>
  <si>
    <t>HRLOW</t>
  </si>
  <si>
    <t>HARTLEPOOL COLLEGE OF FURTHER EDUCATION</t>
  </si>
  <si>
    <t>HPLFE</t>
  </si>
  <si>
    <t>HARTPURY COLLEGE OF FURTHER EDUCATION</t>
  </si>
  <si>
    <t>HRTPY</t>
  </si>
  <si>
    <t>HAVANT AND SOUTH DOWNS COLLEGE</t>
  </si>
  <si>
    <t>SDOWN</t>
  </si>
  <si>
    <t>HCUC</t>
  </si>
  <si>
    <t>UXBRI</t>
  </si>
  <si>
    <t>HEART OF WORCESTERSHIRE COLLEGE</t>
  </si>
  <si>
    <t>WRCTE</t>
  </si>
  <si>
    <t>HEREFORD COLLEGE OF ARTS</t>
  </si>
  <si>
    <t>AD&amp;PA</t>
  </si>
  <si>
    <t>HFDAD</t>
  </si>
  <si>
    <t>HEREFORDSHIRE, LUDLOW, AND NORTH SHROPSHIRE COLLEGE</t>
  </si>
  <si>
    <t>HERTE</t>
  </si>
  <si>
    <t>HEREWARD COLLEGE OF FURTHER EDUCATION</t>
  </si>
  <si>
    <t>HEREW</t>
  </si>
  <si>
    <t>HERTFORD REGIONAL COLLEGE</t>
  </si>
  <si>
    <t>HTREG</t>
  </si>
  <si>
    <t>HIGHBURY COLLEGE PORTSMOUTH</t>
  </si>
  <si>
    <t>HIGHB</t>
  </si>
  <si>
    <t>HILLS ROAD SIXTH FORM COLLEGE</t>
  </si>
  <si>
    <t>HILLS</t>
  </si>
  <si>
    <t>HOLY CROSS COLLEGE</t>
  </si>
  <si>
    <t>HOLYC</t>
  </si>
  <si>
    <t>HOPWOOD HALL COLLEGE</t>
  </si>
  <si>
    <t>HOPWD</t>
  </si>
  <si>
    <t>HUDDERSFIELD NEW COLLEGE</t>
  </si>
  <si>
    <t>HUNEW</t>
  </si>
  <si>
    <t>HUGH BAIRD COLLEGE</t>
  </si>
  <si>
    <t>HBAIR</t>
  </si>
  <si>
    <t>HULL COLLEGE</t>
  </si>
  <si>
    <t>HULLC</t>
  </si>
  <si>
    <t>INSPIRE EDUCATION GROUP</t>
  </si>
  <si>
    <t>PBORO</t>
  </si>
  <si>
    <t>ISLE OF WIGHT COLLEGE</t>
  </si>
  <si>
    <t>ISLWT</t>
  </si>
  <si>
    <t>ITCHEN COLLEGE</t>
  </si>
  <si>
    <t>ITCHE</t>
  </si>
  <si>
    <t>JOHN LEGGOTT SIXTH FORM COLLEGE</t>
  </si>
  <si>
    <t>JLEGG</t>
  </si>
  <si>
    <t>JOSEPH CHAMBERLAIN SIXTH FORM COLLEGE</t>
  </si>
  <si>
    <t>JCHAM</t>
  </si>
  <si>
    <t>KENDAL COLLEGE</t>
  </si>
  <si>
    <t>KENDA</t>
  </si>
  <si>
    <t>KING EDWARD VI COLLEGE STOURBRIDGE</t>
  </si>
  <si>
    <t>KEDST</t>
  </si>
  <si>
    <t>KINGSTON MAURWARD COLLEGE</t>
  </si>
  <si>
    <t>KMAUR</t>
  </si>
  <si>
    <t>KIRKLEES COLLEGE</t>
  </si>
  <si>
    <t>HUDTE</t>
  </si>
  <si>
    <t>LAKES COLLEGE WEST CUMBRIA</t>
  </si>
  <si>
    <t>WCUMB</t>
  </si>
  <si>
    <t>LANCASTER AND MORECAMBE COLLEGE</t>
  </si>
  <si>
    <t>LANMO</t>
  </si>
  <si>
    <t>LEEDS COLLEGE OF BUILDING</t>
  </si>
  <si>
    <t>LEEBU</t>
  </si>
  <si>
    <t>LEICESTER COLLEGE</t>
  </si>
  <si>
    <t>LCSTR</t>
  </si>
  <si>
    <t>LEYTON SIXTH FORM COLLEGE</t>
  </si>
  <si>
    <t>LEYTN</t>
  </si>
  <si>
    <t>LINCOLN COLLEGE</t>
  </si>
  <si>
    <t>NLINC</t>
  </si>
  <si>
    <t>LONDON SOUTH EAST COLLEGES</t>
  </si>
  <si>
    <t>BROML</t>
  </si>
  <si>
    <t>LONG ROAD SIXTH FORM COLLEGE</t>
  </si>
  <si>
    <t>LNGRD</t>
  </si>
  <si>
    <t>LORETO COLLEGE</t>
  </si>
  <si>
    <t>LORET</t>
  </si>
  <si>
    <t>LOUGHBOROUGH COLLEGE</t>
  </si>
  <si>
    <t>LOUFE</t>
  </si>
  <si>
    <t>LTE GROUP</t>
  </si>
  <si>
    <t>CYCOL</t>
  </si>
  <si>
    <t>LUMINATE EDUCATION GROUP</t>
  </si>
  <si>
    <t>LEETE</t>
  </si>
  <si>
    <t>LUTON SIXTH FORM COLLEGE</t>
  </si>
  <si>
    <t>LTNSF</t>
  </si>
  <si>
    <t>MACCLESFIELD COLLEGE</t>
  </si>
  <si>
    <t>MACCL</t>
  </si>
  <si>
    <t>MARY WARD SETTLEMENT</t>
  </si>
  <si>
    <t>MWARD</t>
  </si>
  <si>
    <t>MIDDLESBROUGH COLLEGE</t>
  </si>
  <si>
    <t>MIBRO</t>
  </si>
  <si>
    <t>MID-KENT COLLEGE</t>
  </si>
  <si>
    <t>MKENT</t>
  </si>
  <si>
    <t>MILTON KEYNES COLLEGE</t>
  </si>
  <si>
    <t>MILTN</t>
  </si>
  <si>
    <t>MORLEY COLLEGE LIMITED</t>
  </si>
  <si>
    <t>MORLE</t>
  </si>
  <si>
    <t>MOULTON COLLEGE</t>
  </si>
  <si>
    <t>MOULT</t>
  </si>
  <si>
    <t>MYERSCOUGH COLLEGE</t>
  </si>
  <si>
    <t>MYERS</t>
  </si>
  <si>
    <t>NATIONAL COLLEGE FOR ADVANCED TRANSPORT AND INFRASTRUCTURE(NCATI)</t>
  </si>
  <si>
    <t>NCHSR</t>
  </si>
  <si>
    <t>NCG</t>
  </si>
  <si>
    <t>NWCAS</t>
  </si>
  <si>
    <t>NELSON AND COLNE COLLEGE</t>
  </si>
  <si>
    <t>NELCO</t>
  </si>
  <si>
    <t>NEW CITY COLLEGE</t>
  </si>
  <si>
    <t>TOWHA</t>
  </si>
  <si>
    <t>NEW COLLEGE DURHAM</t>
  </si>
  <si>
    <t>NWDUR</t>
  </si>
  <si>
    <t>NEW COLLEGE STAMFORD</t>
  </si>
  <si>
    <t>STAMF</t>
  </si>
  <si>
    <t>NEW COLLEGE SWINDON</t>
  </si>
  <si>
    <t>NWSWI</t>
  </si>
  <si>
    <t>NEWBURY COLLEGE</t>
  </si>
  <si>
    <t>NWBRY</t>
  </si>
  <si>
    <t>NEWCASTLE AND STAFFORD COLLEGES GROUP</t>
  </si>
  <si>
    <t>NELYM</t>
  </si>
  <si>
    <t>NEWHAM COLLEGE OF FURTHER EDUCATION</t>
  </si>
  <si>
    <t>NEWFE</t>
  </si>
  <si>
    <t>NEWHAM SIXTH FORM COLLEGE</t>
  </si>
  <si>
    <t>NEWSF</t>
  </si>
  <si>
    <t>NORTH EAST SURREY COLLEGE OF TECHNOLOGY (NESCOT)</t>
  </si>
  <si>
    <t>NESUR</t>
  </si>
  <si>
    <t>NORTH HERTFORDSHIRE COLLEGE</t>
  </si>
  <si>
    <t>NHERT</t>
  </si>
  <si>
    <t>NORTH KENT COLLEGE</t>
  </si>
  <si>
    <t>NWKEN</t>
  </si>
  <si>
    <t>NORTH WARWICKSHIRE AND SOUTH LEICESTERSHIRE COLLEGE</t>
  </si>
  <si>
    <t>NTWAR</t>
  </si>
  <si>
    <t>NORTHAMPTON COLLEGE</t>
  </si>
  <si>
    <t>NAMPT</t>
  </si>
  <si>
    <t>NORTHERN COLLEGE FOR RESIDENTIAL ADULT EDUCATION LIMITED(THE)</t>
  </si>
  <si>
    <t>NCRES</t>
  </si>
  <si>
    <t>NOTRE DAME CATHOLIC SIXTH FORM COLLEGE</t>
  </si>
  <si>
    <t>NOTRE</t>
  </si>
  <si>
    <t>NOTTINGHAM COLLEGE</t>
  </si>
  <si>
    <t>CLARN</t>
  </si>
  <si>
    <t>OAKLANDS COLLEGE</t>
  </si>
  <si>
    <t>OAKLA</t>
  </si>
  <si>
    <t>PETER SYMONDS COLLEGE</t>
  </si>
  <si>
    <t>PSYMO</t>
  </si>
  <si>
    <t>PETROC</t>
  </si>
  <si>
    <t>NTDEV</t>
  </si>
  <si>
    <t>PLUMPTON COLLEGE</t>
  </si>
  <si>
    <t>PLMTN</t>
  </si>
  <si>
    <t>PORTSMOUTH COLLEGE</t>
  </si>
  <si>
    <t>PRTCO</t>
  </si>
  <si>
    <t>PRESTON COLLEGE</t>
  </si>
  <si>
    <t>PREST</t>
  </si>
  <si>
    <t>QUEEN ELIZABETH SIXTH FORM COLLEGE</t>
  </si>
  <si>
    <t>QELIZ</t>
  </si>
  <si>
    <t>REASEHEATH COLLEGE</t>
  </si>
  <si>
    <t>REASE</t>
  </si>
  <si>
    <t>RICHARD HUISH COLLEGE</t>
  </si>
  <si>
    <t>RHUIS</t>
  </si>
  <si>
    <t>RICHMOND AND HILLCROFT ADULT AND COMMUNITY COLLEGE</t>
  </si>
  <si>
    <t>HILCT</t>
  </si>
  <si>
    <t>RICHMOND UPON THAMES COLLEGE</t>
  </si>
  <si>
    <t>RICHM</t>
  </si>
  <si>
    <t>RIVERSIDE COLLEGE</t>
  </si>
  <si>
    <t>HALTN</t>
  </si>
  <si>
    <t>RNN GROUP</t>
  </si>
  <si>
    <t>ROHAM</t>
  </si>
  <si>
    <t>RUNSHAW COLLEGE</t>
  </si>
  <si>
    <t>RUNSH</t>
  </si>
  <si>
    <t>RUSKIN COLLEGE</t>
  </si>
  <si>
    <t>RUSKN</t>
  </si>
  <si>
    <t>SALFORD CITY COLLEGE</t>
  </si>
  <si>
    <t>SALFD</t>
  </si>
  <si>
    <t>SANDWELL COLLEGE</t>
  </si>
  <si>
    <t>SANDW</t>
  </si>
  <si>
    <t>SCARBOROUGH SIXTH FORM COLLEGE</t>
  </si>
  <si>
    <t>SCARB</t>
  </si>
  <si>
    <t>SELBY COLLEGE</t>
  </si>
  <si>
    <t>SELBY</t>
  </si>
  <si>
    <t>SHEFFIELD COLLEGE, THE</t>
  </si>
  <si>
    <t>SHFCL</t>
  </si>
  <si>
    <t>SHIPLEY COLLEGE</t>
  </si>
  <si>
    <t>SHIPL</t>
  </si>
  <si>
    <t>SHREWSBURY COLLEGES GROUP</t>
  </si>
  <si>
    <t>SHWSF</t>
  </si>
  <si>
    <t>SIR GEORGE MONOUX COLLEGE</t>
  </si>
  <si>
    <t>SRGEO</t>
  </si>
  <si>
    <t>SOLIHULL COLLEGE AND UNIVERSITY CENTRE</t>
  </si>
  <si>
    <t>SOLFE</t>
  </si>
  <si>
    <t>SOUTH &amp; CITY COLLEGE BIRMINGHAM</t>
  </si>
  <si>
    <t>SOBIR</t>
  </si>
  <si>
    <t>SOUTH BANK COLLEGES</t>
  </si>
  <si>
    <t>LAMBE</t>
  </si>
  <si>
    <t>SOUTH DEVON COLLEGE</t>
  </si>
  <si>
    <t>SODEV</t>
  </si>
  <si>
    <t>SOUTH ESSEX COLLEGE OF FURTHER AND HIGHER EDUCATION</t>
  </si>
  <si>
    <t>SEEAT</t>
  </si>
  <si>
    <t>SOUTH GLOUCESTERSHIRE AND STROUD COLLEGE</t>
  </si>
  <si>
    <t>STROU</t>
  </si>
  <si>
    <t>SOUTH STAFFORDSHIRE COLLEGE</t>
  </si>
  <si>
    <t>TAMWO</t>
  </si>
  <si>
    <t>SOUTH THAMES COLLEGES GROUP</t>
  </si>
  <si>
    <t>KGSTN</t>
  </si>
  <si>
    <t>SOUTHAMPTON CITY COLLEGE</t>
  </si>
  <si>
    <t>SMPTE</t>
  </si>
  <si>
    <t>SOUTHPORT COLLEGE</t>
  </si>
  <si>
    <t>SPORT</t>
  </si>
  <si>
    <t>SPARSHOLT COLLEGE</t>
  </si>
  <si>
    <t>SPARS</t>
  </si>
  <si>
    <t>ST BRENDAN'S SIXTH FORM COLLEGE</t>
  </si>
  <si>
    <t>STBRN</t>
  </si>
  <si>
    <t>ST CHARLES CATHOLIC SIXTH FORM COLLEGE</t>
  </si>
  <si>
    <t>STCHA</t>
  </si>
  <si>
    <t>ST DOMINIC'S SIXTH FORM COLLEGE</t>
  </si>
  <si>
    <t>STDOM</t>
  </si>
  <si>
    <t>ST FRANCIS XAVIER SIXTH FORM COLLEGE</t>
  </si>
  <si>
    <t>SFXVA</t>
  </si>
  <si>
    <t>ST HELENS COLLEGE</t>
  </si>
  <si>
    <t>STHEL</t>
  </si>
  <si>
    <t>ST JOHN RIGBY RC SIXTH FORM COLLEGE</t>
  </si>
  <si>
    <t>STJOH</t>
  </si>
  <si>
    <t>ST MARY'S COLLEGE</t>
  </si>
  <si>
    <t>SMABL</t>
  </si>
  <si>
    <t>STANMORE COLLEGE</t>
  </si>
  <si>
    <t>STANM</t>
  </si>
  <si>
    <t>STOKE ON TRENT COLLEGE</t>
  </si>
  <si>
    <t>STOKE</t>
  </si>
  <si>
    <t>STRODE COLLEGE</t>
  </si>
  <si>
    <t>STRDE</t>
  </si>
  <si>
    <t>SUFFOLK NEW COLLEGE</t>
  </si>
  <si>
    <t>SUFFO</t>
  </si>
  <si>
    <t>SWINDON COLLEGE</t>
  </si>
  <si>
    <t>SWIND</t>
  </si>
  <si>
    <t>TAMESIDE COLLEGE</t>
  </si>
  <si>
    <t>TAMES</t>
  </si>
  <si>
    <t>TEC PARTNERSHIP</t>
  </si>
  <si>
    <t>GRMBY</t>
  </si>
  <si>
    <t>TELFORD COLLEGE</t>
  </si>
  <si>
    <t>TELFD</t>
  </si>
  <si>
    <t>THE BLACKPOOL SIXTH FORM COLLEGE</t>
  </si>
  <si>
    <t>BKLSF</t>
  </si>
  <si>
    <t>THE BROOKE HOUSE SIXTH FORM COLLEGE</t>
  </si>
  <si>
    <t>BHSFC</t>
  </si>
  <si>
    <t>THE CITY LITERARY INSTITUTE</t>
  </si>
  <si>
    <t>CTLIT</t>
  </si>
  <si>
    <t>THE CITY OF LIVERPOOL COLLEGE</t>
  </si>
  <si>
    <t>CYLVP</t>
  </si>
  <si>
    <t>THE COLLEGE OF RICHARD COLLYER IN HORSHAM</t>
  </si>
  <si>
    <t>RCOLL</t>
  </si>
  <si>
    <t>THE COLLEGE OF WEST ANGLIA</t>
  </si>
  <si>
    <t>NKCOL</t>
  </si>
  <si>
    <t>THE EDUCATION TRAINING COLLECTIVE</t>
  </si>
  <si>
    <t>STOBI</t>
  </si>
  <si>
    <t>THE HENLEY COLLEGE</t>
  </si>
  <si>
    <t>HENHE</t>
  </si>
  <si>
    <t>THE NORTHERN SCHOOL OF ART</t>
  </si>
  <si>
    <t>CLVAD</t>
  </si>
  <si>
    <t>THE OLDHAM COLLEGE</t>
  </si>
  <si>
    <t>OLDFE</t>
  </si>
  <si>
    <t>THE SIXTH FORM COLLEGE COLCHESTER</t>
  </si>
  <si>
    <t>SFCOL</t>
  </si>
  <si>
    <t>THE SMB GROUP</t>
  </si>
  <si>
    <t>BRKSY</t>
  </si>
  <si>
    <t>THE TRAFFORD COLLEGE GROUP</t>
  </si>
  <si>
    <t>SOTRF</t>
  </si>
  <si>
    <t>THE WINDSOR FOREST COLLEGES GROUP</t>
  </si>
  <si>
    <t>EBERK</t>
  </si>
  <si>
    <t>THE WKCIC GROUP</t>
  </si>
  <si>
    <t>WMINS</t>
  </si>
  <si>
    <t>TRURO AND PENWITH COLLEGE</t>
  </si>
  <si>
    <t>TRURO</t>
  </si>
  <si>
    <t>TYNE COAST COLLEGE</t>
  </si>
  <si>
    <t>STTYN</t>
  </si>
  <si>
    <t>UNIFIED SEEVIC PALMER'S COLLEGE</t>
  </si>
  <si>
    <t>SEESF</t>
  </si>
  <si>
    <t>UNITED COLLEGES GROUP</t>
  </si>
  <si>
    <t>CYWST</t>
  </si>
  <si>
    <t>VARNDEAN COLLEGE</t>
  </si>
  <si>
    <t>VARND</t>
  </si>
  <si>
    <t>WAKEFIELD COLLEGE</t>
  </si>
  <si>
    <t>WAKEF</t>
  </si>
  <si>
    <t>WALSALL COLLEGE</t>
  </si>
  <si>
    <t>WACAT</t>
  </si>
  <si>
    <t>WALTHAM FOREST COLLEGE</t>
  </si>
  <si>
    <t>WALTH</t>
  </si>
  <si>
    <t>WARRINGTON &amp; VALE ROYAL COLLEGE</t>
  </si>
  <si>
    <t>WRGTN</t>
  </si>
  <si>
    <t>WARWICKSHIRE COLLEGE</t>
  </si>
  <si>
    <t>MDWAR</t>
  </si>
  <si>
    <t>WEST HERTS COLLEGE</t>
  </si>
  <si>
    <t>WEHRT</t>
  </si>
  <si>
    <t>WEST KENT AND ASHFORD COLLEGE</t>
  </si>
  <si>
    <t>WEKNT</t>
  </si>
  <si>
    <t>WEST NOTTINGHAMSHIRE COLLEGE</t>
  </si>
  <si>
    <t>WTNOT</t>
  </si>
  <si>
    <t>WEST SUFFOLK COLLEGE</t>
  </si>
  <si>
    <t>WSUFF</t>
  </si>
  <si>
    <t>WEST THAMES COLLEGE</t>
  </si>
  <si>
    <t>WSTTH</t>
  </si>
  <si>
    <t>WESTON COLLEGE OF FURTHER AND HIGHER EDUCATION</t>
  </si>
  <si>
    <t>WESTO</t>
  </si>
  <si>
    <t>WEYMOUTH COLLEGE</t>
  </si>
  <si>
    <t>WEYMO</t>
  </si>
  <si>
    <t>WIGAN AND LEIGH COLLEGE</t>
  </si>
  <si>
    <t>WIGAN</t>
  </si>
  <si>
    <t>WILBERFORCE COLLEGE</t>
  </si>
  <si>
    <t>WILBE</t>
  </si>
  <si>
    <t>WILTSHIRE COLLEGE AND UNIVERSITY CENTRE</t>
  </si>
  <si>
    <t>WILTS</t>
  </si>
  <si>
    <t>WINSTANLEY COLLEGE</t>
  </si>
  <si>
    <t>WNSTY</t>
  </si>
  <si>
    <t>WIRRAL METROPOLITAN COLLEGE</t>
  </si>
  <si>
    <t>WIRRA</t>
  </si>
  <si>
    <t>WOODHOUSE COLLEGE</t>
  </si>
  <si>
    <t>WOODH</t>
  </si>
  <si>
    <t>WORKERS' EDUCATIONAL ASSOCIATION</t>
  </si>
  <si>
    <t>WORKE</t>
  </si>
  <si>
    <t>WORKING MEN'S COLLEGE CORPORATION</t>
  </si>
  <si>
    <t>WRKNG</t>
  </si>
  <si>
    <t>WQE AND REGENT COLLEGE GROUP</t>
  </si>
  <si>
    <t>WYGQU</t>
  </si>
  <si>
    <t>WYKE SIXTH FORM COLLEGE</t>
  </si>
  <si>
    <t>WYKES</t>
  </si>
  <si>
    <t>XAVERIAN COLLEGE</t>
  </si>
  <si>
    <t>XAVER</t>
  </si>
  <si>
    <t>YEOVIL COLLEGE</t>
  </si>
  <si>
    <t>YEOVI</t>
  </si>
  <si>
    <t>YORK COLLEGE</t>
  </si>
  <si>
    <t>YORFE</t>
  </si>
  <si>
    <t>Please submit your completed cash flow template along with any commentary direct to your ESFA contact/s.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</si>
</sst>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yyyy"/>
    <numFmt numFmtId="166" formatCode="[$-C09]dd\-mmm\-yy;@"/>
    <numFmt numFmtId="167" formatCode="#,##0;\(#,##0\);\-"/>
    <numFmt numFmtId="168" formatCode="[$-F800]dddd\,\ mmmm\ dd\,\ yyyy"/>
    <numFmt numFmtId="169" formatCode="0.0"/>
    <numFmt numFmtId="170" formatCode="dd/mm/yyyy;@"/>
    <numFmt numFmtId="171" formatCode="&quot;£&quot;#,##0_);\(&quot;£&quot;#,##0\)"/>
    <numFmt numFmtId="172" formatCode="#,##0_ ;\-#,##0\ "/>
  </numFmts>
  <fonts count="42" x14ac:knownFonts="1">
    <font>
      <sz val="11"/>
      <color theme="1"/>
      <name val="Calibri"/>
      <family val="2"/>
      <scheme val="minor"/>
    </font>
    <font>
      <sz val="10"/>
      <name val="Arial"/>
      <family val="2"/>
    </font>
    <font>
      <sz val="11"/>
      <color theme="1"/>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b/>
      <i/>
      <u/>
      <sz val="11"/>
      <color theme="1"/>
      <name val="Calibri"/>
      <family val="2"/>
      <scheme val="minor"/>
    </font>
    <font>
      <sz val="11"/>
      <name val="Calibri"/>
      <family val="2"/>
      <scheme val="minor"/>
    </font>
    <font>
      <sz val="11"/>
      <color rgb="FF002060"/>
      <name val="Calibri"/>
      <family val="2"/>
      <scheme val="minor"/>
    </font>
    <font>
      <b/>
      <sz val="11"/>
      <color rgb="FF002060"/>
      <name val="Calibri"/>
      <family val="2"/>
      <scheme val="minor"/>
    </font>
    <font>
      <b/>
      <sz val="11"/>
      <name val="Calibri"/>
      <family val="2"/>
      <scheme val="minor"/>
    </font>
    <font>
      <b/>
      <sz val="14"/>
      <color rgb="FF002060"/>
      <name val="Calibri"/>
      <family val="2"/>
      <scheme val="minor"/>
    </font>
    <font>
      <i/>
      <sz val="11"/>
      <color theme="1"/>
      <name val="Calibri"/>
      <family val="2"/>
      <scheme val="minor"/>
    </font>
    <font>
      <sz val="11"/>
      <color theme="0"/>
      <name val="Calibri"/>
      <family val="2"/>
      <scheme val="minor"/>
    </font>
    <font>
      <u/>
      <sz val="11"/>
      <color theme="10"/>
      <name val="Calibri"/>
      <family val="2"/>
      <scheme val="minor"/>
    </font>
    <font>
      <b/>
      <u/>
      <sz val="11"/>
      <color rgb="FFFF0000"/>
      <name val="Calibri"/>
      <family val="2"/>
      <scheme val="minor"/>
    </font>
    <font>
      <b/>
      <vertAlign val="superscript"/>
      <sz val="11"/>
      <color theme="0"/>
      <name val="Calibri"/>
      <family val="2"/>
      <scheme val="minor"/>
    </font>
    <font>
      <sz val="11"/>
      <color theme="8" tint="-0.499984740745262"/>
      <name val="Calibri"/>
      <family val="2"/>
      <scheme val="minor"/>
    </font>
    <font>
      <b/>
      <sz val="11"/>
      <color rgb="FF3F3F3F"/>
      <name val="Calibri"/>
      <family val="2"/>
      <scheme val="minor"/>
    </font>
    <font>
      <b/>
      <sz val="11"/>
      <color rgb="FFFF0000"/>
      <name val="Calibri"/>
      <family val="2"/>
      <scheme val="minor"/>
    </font>
    <font>
      <b/>
      <sz val="14"/>
      <color theme="1"/>
      <name val="Calibri"/>
      <family val="2"/>
      <scheme val="minor"/>
    </font>
    <font>
      <b/>
      <sz val="12"/>
      <color theme="1"/>
      <name val="Calibri"/>
      <family val="2"/>
      <scheme val="minor"/>
    </font>
    <font>
      <b/>
      <sz val="10"/>
      <color rgb="FFFF0000"/>
      <name val="Calibri"/>
      <family val="2"/>
      <scheme val="minor"/>
    </font>
    <font>
      <sz val="9"/>
      <color indexed="81"/>
      <name val="Tahoma"/>
      <family val="2"/>
    </font>
    <font>
      <b/>
      <sz val="10"/>
      <color theme="1"/>
      <name val="Calibri"/>
      <family val="2"/>
      <scheme val="minor"/>
    </font>
    <font>
      <sz val="10"/>
      <color theme="1"/>
      <name val="Calibri"/>
      <family val="2"/>
      <scheme val="minor"/>
    </font>
    <font>
      <b/>
      <sz val="10"/>
      <color indexed="8"/>
      <name val="Calibri"/>
      <family val="2"/>
      <scheme val="minor"/>
    </font>
    <font>
      <sz val="10"/>
      <color indexed="8"/>
      <name val="Calibri"/>
      <family val="2"/>
      <scheme val="minor"/>
    </font>
    <font>
      <b/>
      <u/>
      <sz val="10"/>
      <color indexed="8"/>
      <name val="Calibri"/>
      <family val="2"/>
      <scheme val="minor"/>
    </font>
    <font>
      <sz val="10"/>
      <name val="Calibri"/>
      <family val="2"/>
      <scheme val="minor"/>
    </font>
    <font>
      <u/>
      <sz val="10"/>
      <color theme="10"/>
      <name val="Calibri"/>
      <family val="2"/>
      <scheme val="minor"/>
    </font>
    <font>
      <sz val="11"/>
      <color rgb="FF3F3F3F"/>
      <name val="Calibri"/>
      <family val="2"/>
      <scheme val="minor"/>
    </font>
    <font>
      <b/>
      <sz val="11"/>
      <color theme="8" tint="-0.499984740745262"/>
      <name val="Calibri"/>
      <family val="2"/>
      <scheme val="minor"/>
    </font>
    <font>
      <sz val="10"/>
      <color indexed="8"/>
      <name val="Arial"/>
      <family val="2"/>
    </font>
    <font>
      <sz val="10"/>
      <color indexed="8"/>
      <name val="MS Sans Serif"/>
    </font>
    <font>
      <sz val="11"/>
      <color indexed="8"/>
      <name val="Calibri"/>
      <family val="2"/>
      <scheme val="minor"/>
    </font>
    <font>
      <sz val="11"/>
      <color theme="0" tint="-0.34998626667073579"/>
      <name val="Calibri"/>
      <family val="2"/>
      <scheme val="minor"/>
    </font>
    <font>
      <i/>
      <sz val="11"/>
      <color theme="0" tint="-0.34998626667073579"/>
      <name val="Calibri"/>
      <family val="2"/>
      <scheme val="minor"/>
    </font>
    <font>
      <sz val="11"/>
      <color theme="2" tint="-0.249977111117893"/>
      <name val="Calibri"/>
      <family val="2"/>
      <scheme val="minor"/>
    </font>
    <font>
      <sz val="8"/>
      <name val="Calibri"/>
      <family val="2"/>
      <scheme val="minor"/>
    </font>
    <font>
      <b/>
      <sz val="11"/>
      <color theme="2" tint="-0.249977111117893"/>
      <name val="Calibri"/>
      <family val="2"/>
      <scheme val="minor"/>
    </font>
    <font>
      <sz val="11"/>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0" tint="-0.14999847407452621"/>
        <bgColor indexed="64"/>
      </patternFill>
    </fill>
    <fill>
      <patternFill patternType="solid">
        <fgColor theme="4" tint="0.79998168889431442"/>
        <bgColor indexed="64"/>
      </patternFill>
    </fill>
    <fill>
      <patternFill patternType="solid">
        <fgColor rgb="FF2A4982"/>
        <bgColor indexed="64"/>
      </patternFill>
    </fill>
    <fill>
      <patternFill patternType="solid">
        <fgColor rgb="FFFFCC99"/>
        <bgColor indexed="64"/>
      </patternFill>
    </fill>
    <fill>
      <patternFill patternType="solid">
        <fgColor rgb="FFF2F2F2"/>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CC66"/>
        <bgColor indexed="64"/>
      </patternFill>
    </fill>
    <fill>
      <patternFill patternType="solid">
        <fgColor indexed="9"/>
        <bgColor indexed="64"/>
      </patternFill>
    </fill>
  </fills>
  <borders count="16">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right/>
      <top style="thin">
        <color theme="1" tint="0.34998626667073579"/>
      </top>
      <bottom style="thin">
        <color theme="1" tint="0.34998626667073579"/>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1">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 fillId="3" borderId="2" applyNumberFormat="0" applyAlignment="0" applyProtection="0"/>
    <xf numFmtId="0" fontId="2" fillId="0" borderId="0"/>
    <xf numFmtId="0" fontId="14" fillId="0" borderId="0" applyNumberFormat="0" applyFill="0" applyBorder="0" applyAlignment="0" applyProtection="0"/>
    <xf numFmtId="0" fontId="18" fillId="8" borderId="5" applyNumberFormat="0" applyAlignment="0" applyProtection="0"/>
    <xf numFmtId="0" fontId="2" fillId="0" borderId="0"/>
    <xf numFmtId="0" fontId="2" fillId="0" borderId="0"/>
    <xf numFmtId="0" fontId="34" fillId="0" borderId="0" applyFont="0" applyFill="0" applyBorder="0" applyAlignment="0" applyProtection="0"/>
  </cellStyleXfs>
  <cellXfs count="122">
    <xf numFmtId="0" fontId="0" fillId="0" borderId="0" xfId="0"/>
    <xf numFmtId="164" fontId="0" fillId="0" borderId="0" xfId="3" applyNumberFormat="1" applyFont="1"/>
    <xf numFmtId="0" fontId="5" fillId="0" borderId="0" xfId="0" applyFont="1"/>
    <xf numFmtId="167" fontId="0" fillId="0" borderId="0" xfId="0" applyNumberFormat="1" applyAlignment="1">
      <alignment horizontal="left"/>
    </xf>
    <xf numFmtId="167" fontId="5" fillId="0" borderId="0" xfId="0" applyNumberFormat="1" applyFont="1" applyAlignment="1">
      <alignment horizontal="left"/>
    </xf>
    <xf numFmtId="167" fontId="5" fillId="0" borderId="0" xfId="0" applyNumberFormat="1" applyFont="1" applyAlignment="1">
      <alignment horizontal="right"/>
    </xf>
    <xf numFmtId="167" fontId="5" fillId="4" borderId="0" xfId="0" applyNumberFormat="1" applyFont="1" applyFill="1" applyAlignment="1">
      <alignment horizontal="left"/>
    </xf>
    <xf numFmtId="167" fontId="5" fillId="5" borderId="0" xfId="0" applyNumberFormat="1" applyFont="1" applyFill="1" applyAlignment="1">
      <alignment horizontal="left"/>
    </xf>
    <xf numFmtId="167" fontId="5" fillId="5" borderId="0" xfId="0" applyNumberFormat="1" applyFont="1" applyFill="1" applyAlignment="1">
      <alignment horizontal="right"/>
    </xf>
    <xf numFmtId="167" fontId="6" fillId="0" borderId="0" xfId="0" applyNumberFormat="1" applyFont="1" applyAlignment="1">
      <alignment horizontal="left"/>
    </xf>
    <xf numFmtId="0" fontId="8" fillId="0" borderId="0" xfId="0" applyFont="1"/>
    <xf numFmtId="0" fontId="9" fillId="0" borderId="0" xfId="0" applyFont="1" applyProtection="1">
      <protection locked="0"/>
    </xf>
    <xf numFmtId="166" fontId="10" fillId="0" borderId="0" xfId="0" applyNumberFormat="1" applyFont="1" applyAlignment="1">
      <alignment horizontal="left"/>
    </xf>
    <xf numFmtId="0" fontId="11" fillId="0" borderId="0" xfId="0" applyFont="1" applyProtection="1">
      <protection locked="0"/>
    </xf>
    <xf numFmtId="167" fontId="12" fillId="0" borderId="0" xfId="0" applyNumberFormat="1" applyFont="1" applyAlignment="1">
      <alignment horizontal="left"/>
    </xf>
    <xf numFmtId="165" fontId="4" fillId="6" borderId="0" xfId="0" quotePrefix="1" applyNumberFormat="1" applyFont="1" applyFill="1" applyAlignment="1">
      <alignment horizontal="left"/>
    </xf>
    <xf numFmtId="165" fontId="4" fillId="6" borderId="0" xfId="0" quotePrefix="1" applyNumberFormat="1" applyFont="1" applyFill="1" applyAlignment="1">
      <alignment horizontal="center"/>
    </xf>
    <xf numFmtId="167" fontId="5" fillId="4" borderId="3" xfId="0" applyNumberFormat="1" applyFont="1" applyFill="1" applyBorder="1" applyAlignment="1">
      <alignment horizontal="right"/>
    </xf>
    <xf numFmtId="167" fontId="5" fillId="4" borderId="3" xfId="0" applyNumberFormat="1" applyFont="1" applyFill="1" applyBorder="1" applyAlignment="1">
      <alignment horizontal="left"/>
    </xf>
    <xf numFmtId="167" fontId="5" fillId="0" borderId="1" xfId="0" applyNumberFormat="1" applyFont="1" applyBorder="1" applyAlignment="1">
      <alignment horizontal="left"/>
    </xf>
    <xf numFmtId="167" fontId="5" fillId="2" borderId="0" xfId="0" applyNumberFormat="1" applyFont="1" applyFill="1" applyAlignment="1">
      <alignment horizontal="left"/>
    </xf>
    <xf numFmtId="167" fontId="5" fillId="2" borderId="0" xfId="0" applyNumberFormat="1" applyFont="1" applyFill="1" applyAlignment="1">
      <alignment horizontal="right"/>
    </xf>
    <xf numFmtId="167" fontId="0" fillId="0" borderId="0" xfId="0" applyNumberFormat="1"/>
    <xf numFmtId="167" fontId="5" fillId="2" borderId="4" xfId="0" applyNumberFormat="1" applyFont="1" applyFill="1" applyBorder="1" applyAlignment="1">
      <alignment horizontal="left"/>
    </xf>
    <xf numFmtId="167" fontId="5" fillId="2" borderId="4" xfId="0" applyNumberFormat="1" applyFont="1" applyFill="1" applyBorder="1" applyAlignment="1">
      <alignment horizontal="right"/>
    </xf>
    <xf numFmtId="0" fontId="14" fillId="0" borderId="0" xfId="6"/>
    <xf numFmtId="167" fontId="0" fillId="0" borderId="0" xfId="0" applyNumberFormat="1" applyAlignment="1">
      <alignment horizontal="right"/>
    </xf>
    <xf numFmtId="0" fontId="19" fillId="0" borderId="0" xfId="0" applyFont="1"/>
    <xf numFmtId="0" fontId="20" fillId="0" borderId="0" xfId="0" applyFont="1"/>
    <xf numFmtId="0" fontId="0" fillId="0" borderId="0" xfId="0" applyAlignment="1">
      <alignment horizontal="center"/>
    </xf>
    <xf numFmtId="0" fontId="15" fillId="0" borderId="0" xfId="0" applyFont="1"/>
    <xf numFmtId="14" fontId="0" fillId="0" borderId="0" xfId="0" applyNumberFormat="1"/>
    <xf numFmtId="17" fontId="7" fillId="0" borderId="0" xfId="0" applyNumberFormat="1" applyFont="1" applyAlignment="1">
      <alignment horizontal="center"/>
    </xf>
    <xf numFmtId="17" fontId="13" fillId="6" borderId="0" xfId="0" applyNumberFormat="1" applyFont="1" applyFill="1" applyAlignment="1">
      <alignment horizontal="center"/>
    </xf>
    <xf numFmtId="2" fontId="0" fillId="0" borderId="0" xfId="0" applyNumberFormat="1"/>
    <xf numFmtId="167" fontId="0" fillId="0" borderId="0" xfId="0" applyNumberFormat="1" applyAlignment="1">
      <alignment horizontal="left" wrapText="1"/>
    </xf>
    <xf numFmtId="0" fontId="22" fillId="0" borderId="0" xfId="0" applyFont="1" applyAlignment="1">
      <alignment horizontal="center" vertical="center"/>
    </xf>
    <xf numFmtId="168" fontId="0" fillId="0" borderId="0" xfId="0" applyNumberFormat="1"/>
    <xf numFmtId="170" fontId="3" fillId="0" borderId="2" xfId="4" applyNumberFormat="1" applyFill="1" applyAlignment="1">
      <alignment horizontal="left"/>
    </xf>
    <xf numFmtId="0" fontId="24" fillId="2" borderId="0" xfId="0" applyFont="1" applyFill="1"/>
    <xf numFmtId="0" fontId="25" fillId="2" borderId="0" xfId="0" applyFont="1" applyFill="1"/>
    <xf numFmtId="0" fontId="0" fillId="2" borderId="0" xfId="0" applyFill="1" applyAlignment="1">
      <alignment horizontal="right"/>
    </xf>
    <xf numFmtId="169" fontId="0" fillId="2" borderId="0" xfId="0" applyNumberFormat="1" applyFill="1"/>
    <xf numFmtId="0" fontId="26" fillId="2" borderId="0" xfId="0" applyFont="1" applyFill="1"/>
    <xf numFmtId="49" fontId="27" fillId="2" borderId="0" xfId="0" applyNumberFormat="1" applyFont="1" applyFill="1"/>
    <xf numFmtId="0" fontId="27" fillId="2" borderId="0" xfId="0" applyFont="1" applyFill="1"/>
    <xf numFmtId="0" fontId="26" fillId="2" borderId="0" xfId="0" applyFont="1" applyFill="1" applyAlignment="1">
      <alignment horizontal="center"/>
    </xf>
    <xf numFmtId="0" fontId="24" fillId="2" borderId="0" xfId="0" applyFont="1" applyFill="1" applyAlignment="1">
      <alignment horizontal="center"/>
    </xf>
    <xf numFmtId="0" fontId="27" fillId="2" borderId="0" xfId="0" applyFont="1" applyFill="1" applyAlignment="1">
      <alignment horizontal="center"/>
    </xf>
    <xf numFmtId="49" fontId="27" fillId="2" borderId="0" xfId="0" applyNumberFormat="1" applyFont="1" applyFill="1" applyAlignment="1">
      <alignment horizontal="left"/>
    </xf>
    <xf numFmtId="2" fontId="27" fillId="2" borderId="0" xfId="0" applyNumberFormat="1" applyFont="1" applyFill="1" applyAlignment="1">
      <alignment horizontal="center"/>
    </xf>
    <xf numFmtId="10" fontId="27" fillId="2" borderId="0" xfId="0" applyNumberFormat="1" applyFont="1" applyFill="1" applyAlignment="1">
      <alignment horizontal="center"/>
    </xf>
    <xf numFmtId="49" fontId="28" fillId="2" borderId="0" xfId="0" applyNumberFormat="1" applyFont="1" applyFill="1"/>
    <xf numFmtId="0" fontId="26" fillId="0" borderId="0" xfId="8" applyFont="1" applyAlignment="1">
      <alignment horizontal="left" vertical="center"/>
    </xf>
    <xf numFmtId="0" fontId="27" fillId="0" borderId="0" xfId="8" applyFont="1"/>
    <xf numFmtId="0" fontId="27" fillId="0" borderId="0" xfId="8" applyFont="1" applyAlignment="1">
      <alignment horizontal="center" vertical="center"/>
    </xf>
    <xf numFmtId="0" fontId="26" fillId="11" borderId="6" xfId="8" applyFont="1" applyFill="1" applyBorder="1" applyAlignment="1">
      <alignment horizontal="center" wrapText="1"/>
    </xf>
    <xf numFmtId="0" fontId="29" fillId="0" borderId="0" xfId="8" applyFont="1" applyAlignment="1">
      <alignment horizontal="center"/>
    </xf>
    <xf numFmtId="0" fontId="27" fillId="0" borderId="0" xfId="8" applyFont="1" applyAlignment="1">
      <alignment horizontal="center"/>
    </xf>
    <xf numFmtId="0" fontId="0" fillId="0" borderId="0" xfId="0" applyAlignment="1">
      <alignment horizontal="center" vertical="center"/>
    </xf>
    <xf numFmtId="0" fontId="25" fillId="0" borderId="0" xfId="0" applyFont="1"/>
    <xf numFmtId="0" fontId="24" fillId="10" borderId="6" xfId="0" applyFont="1" applyFill="1" applyBorder="1" applyAlignment="1" applyProtection="1">
      <alignment horizontal="center" vertical="center"/>
      <protection locked="0"/>
    </xf>
    <xf numFmtId="0" fontId="5" fillId="10" borderId="6" xfId="0" applyFont="1" applyFill="1" applyBorder="1" applyAlignment="1" applyProtection="1">
      <alignment horizontal="center" vertical="center"/>
      <protection locked="0"/>
    </xf>
    <xf numFmtId="0" fontId="5" fillId="0" borderId="0" xfId="0" applyFont="1" applyAlignment="1">
      <alignment horizontal="left" vertical="center"/>
    </xf>
    <xf numFmtId="0" fontId="26" fillId="0" borderId="6" xfId="8" applyFont="1" applyBorder="1" applyAlignment="1">
      <alignment vertical="center"/>
    </xf>
    <xf numFmtId="0" fontId="25" fillId="2" borderId="0" xfId="0" applyFont="1" applyFill="1" applyAlignment="1">
      <alignment horizontal="center"/>
    </xf>
    <xf numFmtId="2" fontId="27" fillId="2" borderId="0" xfId="0" applyNumberFormat="1" applyFont="1" applyFill="1"/>
    <xf numFmtId="0" fontId="26" fillId="2" borderId="0" xfId="0" applyFont="1" applyFill="1" applyAlignment="1">
      <alignment wrapText="1"/>
    </xf>
    <xf numFmtId="10" fontId="27" fillId="2" borderId="0" xfId="0" applyNumberFormat="1" applyFont="1" applyFill="1"/>
    <xf numFmtId="0" fontId="33" fillId="0" borderId="0" xfId="0" applyFont="1"/>
    <xf numFmtId="0" fontId="27" fillId="0" borderId="0" xfId="0" applyFont="1"/>
    <xf numFmtId="0" fontId="29" fillId="0" borderId="0" xfId="0" applyFont="1"/>
    <xf numFmtId="0" fontId="25" fillId="2" borderId="0" xfId="9" applyFont="1" applyFill="1"/>
    <xf numFmtId="0" fontId="27" fillId="2" borderId="0" xfId="10" applyFont="1" applyFill="1"/>
    <xf numFmtId="0" fontId="31" fillId="8" borderId="5" xfId="7" applyFont="1" applyAlignment="1" applyProtection="1">
      <alignment horizontal="left" vertical="top"/>
    </xf>
    <xf numFmtId="167" fontId="37" fillId="0" borderId="0" xfId="0" applyNumberFormat="1" applyFont="1" applyAlignment="1">
      <alignment horizontal="left"/>
    </xf>
    <xf numFmtId="167" fontId="38" fillId="0" borderId="0" xfId="0" applyNumberFormat="1" applyFont="1" applyAlignment="1">
      <alignment horizontal="right"/>
    </xf>
    <xf numFmtId="167" fontId="40" fillId="2" borderId="0" xfId="0" applyNumberFormat="1" applyFont="1" applyFill="1" applyAlignment="1">
      <alignment horizontal="right"/>
    </xf>
    <xf numFmtId="0" fontId="38" fillId="0" borderId="0" xfId="0" applyFont="1"/>
    <xf numFmtId="1" fontId="41" fillId="2" borderId="0" xfId="0" applyNumberFormat="1" applyFont="1" applyFill="1"/>
    <xf numFmtId="167" fontId="41" fillId="0" borderId="0" xfId="0" applyNumberFormat="1" applyFont="1"/>
    <xf numFmtId="1" fontId="36" fillId="0" borderId="0" xfId="0" applyNumberFormat="1" applyFont="1"/>
    <xf numFmtId="172" fontId="17" fillId="7" borderId="0" xfId="3" applyNumberFormat="1" applyFont="1" applyFill="1"/>
    <xf numFmtId="172" fontId="17" fillId="7" borderId="0" xfId="3" applyNumberFormat="1" applyFont="1" applyFill="1" applyAlignment="1">
      <alignment horizontal="right"/>
    </xf>
    <xf numFmtId="172" fontId="32" fillId="7" borderId="0" xfId="3" applyNumberFormat="1" applyFont="1" applyFill="1"/>
    <xf numFmtId="0" fontId="5" fillId="9" borderId="10" xfId="0" applyFont="1" applyFill="1" applyBorder="1"/>
    <xf numFmtId="0" fontId="5" fillId="9" borderId="11" xfId="0" applyFont="1" applyFill="1" applyBorder="1"/>
    <xf numFmtId="0" fontId="0" fillId="9" borderId="11" xfId="0" applyFill="1" applyBorder="1"/>
    <xf numFmtId="0" fontId="0" fillId="9" borderId="11" xfId="0" applyFill="1" applyBorder="1" applyAlignment="1">
      <alignment horizontal="left"/>
    </xf>
    <xf numFmtId="0" fontId="21" fillId="9" borderId="12" xfId="0" applyFont="1" applyFill="1" applyBorder="1" applyAlignment="1">
      <alignment horizontal="center"/>
    </xf>
    <xf numFmtId="0" fontId="5" fillId="9" borderId="13" xfId="0" applyFont="1" applyFill="1" applyBorder="1"/>
    <xf numFmtId="0" fontId="5" fillId="9" borderId="14" xfId="0" applyFont="1" applyFill="1" applyBorder="1"/>
    <xf numFmtId="0" fontId="0" fillId="9" borderId="14" xfId="0" applyFill="1" applyBorder="1"/>
    <xf numFmtId="0" fontId="0" fillId="9" borderId="14" xfId="0" applyFill="1" applyBorder="1" applyAlignment="1">
      <alignment horizontal="left"/>
    </xf>
    <xf numFmtId="0" fontId="21" fillId="9" borderId="15" xfId="0" applyFont="1" applyFill="1" applyBorder="1" applyAlignment="1">
      <alignment horizontal="center"/>
    </xf>
    <xf numFmtId="0" fontId="0" fillId="0" borderId="0" xfId="0" applyAlignment="1">
      <alignment vertical="center"/>
    </xf>
    <xf numFmtId="0" fontId="0" fillId="9" borderId="11" xfId="0" applyFill="1" applyBorder="1" applyAlignment="1">
      <alignment horizontal="left" wrapText="1"/>
    </xf>
    <xf numFmtId="0" fontId="0" fillId="9" borderId="14" xfId="0" applyFill="1" applyBorder="1" applyAlignment="1">
      <alignment horizontal="left" wrapText="1"/>
    </xf>
    <xf numFmtId="0" fontId="0" fillId="0" borderId="0" xfId="0" applyAlignment="1">
      <alignment horizontal="left" vertical="center" wrapText="1"/>
    </xf>
    <xf numFmtId="0" fontId="0" fillId="0" borderId="0" xfId="0" applyAlignment="1">
      <alignment horizontal="left" wrapText="1"/>
    </xf>
    <xf numFmtId="49" fontId="26" fillId="2" borderId="0" xfId="0" applyNumberFormat="1" applyFont="1" applyFill="1" applyAlignment="1">
      <alignment horizontal="left"/>
    </xf>
    <xf numFmtId="49" fontId="26" fillId="10" borderId="7" xfId="8" applyNumberFormat="1" applyFont="1" applyFill="1" applyBorder="1" applyAlignment="1" applyProtection="1">
      <alignment horizontal="center" wrapText="1"/>
      <protection locked="0"/>
    </xf>
    <xf numFmtId="49" fontId="26" fillId="10" borderId="4" xfId="8" applyNumberFormat="1" applyFont="1" applyFill="1" applyBorder="1" applyAlignment="1" applyProtection="1">
      <alignment horizontal="center" wrapText="1"/>
      <protection locked="0"/>
    </xf>
    <xf numFmtId="49" fontId="26" fillId="10" borderId="8" xfId="8" applyNumberFormat="1" applyFont="1" applyFill="1" applyBorder="1" applyAlignment="1" applyProtection="1">
      <alignment horizontal="center" wrapText="1"/>
      <protection locked="0"/>
    </xf>
    <xf numFmtId="0" fontId="35" fillId="0" borderId="7" xfId="8" applyFont="1" applyBorder="1" applyAlignment="1">
      <alignment vertical="center" wrapText="1"/>
    </xf>
    <xf numFmtId="0" fontId="35" fillId="0" borderId="4" xfId="8" applyFont="1" applyBorder="1" applyAlignment="1">
      <alignment vertical="center" wrapText="1"/>
    </xf>
    <xf numFmtId="0" fontId="35" fillId="0" borderId="8" xfId="8" applyFont="1" applyBorder="1" applyAlignment="1">
      <alignment vertical="center" wrapText="1"/>
    </xf>
    <xf numFmtId="0" fontId="0" fillId="0" borderId="6" xfId="0" applyBorder="1" applyAlignment="1">
      <alignment vertical="center" wrapText="1"/>
    </xf>
    <xf numFmtId="171" fontId="35" fillId="0" borderId="7" xfId="8" applyNumberFormat="1" applyFont="1" applyBorder="1" applyAlignment="1">
      <alignment horizontal="left" vertical="center" wrapText="1"/>
    </xf>
    <xf numFmtId="0" fontId="27" fillId="0" borderId="7" xfId="8" applyFont="1" applyBorder="1" applyAlignment="1" applyProtection="1">
      <alignment horizontal="left" vertical="center" wrapText="1"/>
      <protection locked="0"/>
    </xf>
    <xf numFmtId="0" fontId="27" fillId="0" borderId="4" xfId="8" applyFont="1" applyBorder="1" applyAlignment="1" applyProtection="1">
      <alignment horizontal="left" vertical="center" wrapText="1"/>
      <protection locked="0"/>
    </xf>
    <xf numFmtId="0" fontId="27" fillId="0" borderId="9" xfId="8" applyFont="1" applyBorder="1" applyAlignment="1" applyProtection="1">
      <alignment horizontal="left" vertical="center" wrapText="1"/>
      <protection locked="0"/>
    </xf>
    <xf numFmtId="0" fontId="27" fillId="0" borderId="8" xfId="8" applyFont="1" applyBorder="1" applyAlignment="1" applyProtection="1">
      <alignment horizontal="left" vertical="center" wrapText="1"/>
      <protection locked="0"/>
    </xf>
    <xf numFmtId="49" fontId="27" fillId="0" borderId="7" xfId="8" quotePrefix="1" applyNumberFormat="1" applyFont="1" applyBorder="1" applyAlignment="1" applyProtection="1">
      <alignment horizontal="left" vertical="center" wrapText="1"/>
      <protection locked="0"/>
    </xf>
    <xf numFmtId="49" fontId="27" fillId="0" borderId="8" xfId="8" applyNumberFormat="1" applyFont="1" applyBorder="1" applyAlignment="1" applyProtection="1">
      <alignment horizontal="left" vertical="center" wrapText="1"/>
      <protection locked="0"/>
    </xf>
    <xf numFmtId="0" fontId="26" fillId="0" borderId="6" xfId="8" applyFont="1" applyBorder="1" applyAlignment="1">
      <alignment horizontal="left" vertical="center" wrapText="1"/>
    </xf>
    <xf numFmtId="49" fontId="30" fillId="12" borderId="7" xfId="0" applyNumberFormat="1" applyFont="1" applyFill="1" applyBorder="1" applyAlignment="1" applyProtection="1">
      <alignment vertical="center" wrapText="1"/>
      <protection locked="0"/>
    </xf>
    <xf numFmtId="49" fontId="27" fillId="12" borderId="8" xfId="0" applyNumberFormat="1" applyFont="1" applyFill="1" applyBorder="1" applyAlignment="1" applyProtection="1">
      <alignment vertical="center" wrapText="1"/>
      <protection locked="0"/>
    </xf>
    <xf numFmtId="171" fontId="26" fillId="0" borderId="6" xfId="8" applyNumberFormat="1" applyFont="1" applyBorder="1" applyAlignment="1">
      <alignment horizontal="left" vertical="center"/>
    </xf>
    <xf numFmtId="168" fontId="29" fillId="0" borderId="6" xfId="0" applyNumberFormat="1" applyFont="1" applyBorder="1" applyAlignment="1" applyProtection="1">
      <alignment horizontal="center" vertical="center" wrapText="1"/>
      <protection locked="0"/>
    </xf>
    <xf numFmtId="164" fontId="15" fillId="0" borderId="0" xfId="6" applyNumberFormat="1" applyFont="1" applyAlignment="1">
      <alignment horizontal="center"/>
    </xf>
    <xf numFmtId="0" fontId="14" fillId="0" borderId="0" xfId="6" applyAlignment="1">
      <alignment horizontal="center"/>
    </xf>
  </cellXfs>
  <cellStyles count="11">
    <cellStyle name="Comma" xfId="3" builtinId="3"/>
    <cellStyle name="Comma 2" xfId="2" xr:uid="{00000000-0005-0000-0000-000002000000}"/>
    <cellStyle name="Hyperlink" xfId="6" builtinId="8"/>
    <cellStyle name="Input 3" xfId="4" xr:uid="{00000000-0005-0000-0000-000005000000}"/>
    <cellStyle name="Normal" xfId="0" builtinId="0"/>
    <cellStyle name="Normal 2" xfId="1" xr:uid="{00000000-0005-0000-0000-000007000000}"/>
    <cellStyle name="Normal 2 2" xfId="8" xr:uid="{D06438BA-D983-4F65-8FA7-3A030B9588EB}"/>
    <cellStyle name="Normal 2 2 2" xfId="9" xr:uid="{8BC79F7F-5CB9-40C9-82DB-F3618CFDEA2B}"/>
    <cellStyle name="Normal 3 3" xfId="5" xr:uid="{00000000-0005-0000-0000-000008000000}"/>
    <cellStyle name="Normal 5 2" xfId="10" xr:uid="{DEE24B02-E878-444B-A58E-9E3321CDEEA5}"/>
    <cellStyle name="Output" xfId="7" builtinId="21"/>
  </cellStyles>
  <dxfs count="343">
    <dxf>
      <font>
        <color theme="0"/>
      </font>
    </dxf>
    <dxf>
      <font>
        <color theme="0"/>
      </font>
    </dxf>
    <dxf>
      <font>
        <b/>
        <i val="0"/>
        <color auto="1"/>
      </font>
      <fill>
        <patternFill>
          <bgColor rgb="FFFF0000"/>
        </patternFill>
      </fill>
    </dxf>
    <dxf>
      <font>
        <b/>
        <i val="0"/>
        <color auto="1"/>
      </font>
      <fill>
        <patternFill>
          <bgColor rgb="FFFF0000"/>
        </patternFill>
      </fill>
    </dxf>
    <dxf>
      <font>
        <b/>
        <i val="0"/>
        <u/>
        <color rgb="FFFF0000"/>
      </font>
    </dxf>
    <dxf>
      <font>
        <b val="0"/>
        <i/>
        <color rgb="FFC00000"/>
      </font>
      <fill>
        <patternFill patternType="none">
          <bgColor auto="1"/>
        </patternFill>
      </fill>
    </dxf>
    <dxf>
      <font>
        <b val="0"/>
        <i/>
        <color rgb="FF1E3FA8"/>
      </font>
      <fill>
        <patternFill patternType="none">
          <bgColor auto="1"/>
        </patternFill>
      </fill>
    </dxf>
    <dxf>
      <font>
        <b/>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val="0"/>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val="0"/>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val="0"/>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val="0"/>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val="0"/>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val="0"/>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val="0"/>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val="0"/>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val="0"/>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val="0"/>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val="0"/>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val="0"/>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val="0"/>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val="0"/>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val="0"/>
        <i val="0"/>
        <strike val="0"/>
        <condense val="0"/>
        <extend val="0"/>
        <outline val="0"/>
        <shadow val="0"/>
        <u val="none"/>
        <vertAlign val="baseline"/>
        <sz val="11"/>
        <color theme="8" tint="-0.499984740745262"/>
        <name val="Calibri"/>
        <scheme val="minor"/>
      </font>
      <numFmt numFmtId="172" formatCode="#,##0_ ;\-#,##0\ "/>
      <fill>
        <patternFill patternType="solid">
          <fgColor indexed="64"/>
          <bgColor rgb="FFFFCC9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7" formatCode="#,##0;\(#,##0\);\-"/>
      <fill>
        <patternFill patternType="solid">
          <fgColor indexed="64"/>
          <bgColor theme="0" tint="-0.14999847407452621"/>
        </patternFill>
      </fill>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alignment horizontal="left" vertical="bottom" textRotation="0" wrapText="0" indent="0" justifyLastLine="0" shrinkToFit="0" readingOrder="0"/>
    </dxf>
    <dxf>
      <numFmt numFmtId="167" formatCode="#,##0;\(#,##0\);\-"/>
      <alignment horizontal="left" vertical="bottom" textRotation="0" wrapText="0" indent="0" justifyLastLine="0" shrinkToFit="0" readingOrder="0"/>
    </dxf>
    <dxf>
      <fill>
        <patternFill patternType="solid">
          <fgColor rgb="FF000000"/>
          <bgColor rgb="FFF2F2F2"/>
        </patternFill>
      </fill>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alignment horizontal="left" vertical="bottom" textRotation="0" wrapText="0" indent="0" justifyLastLine="0" shrinkToFit="0" readingOrder="0"/>
    </dxf>
    <dxf>
      <numFmt numFmtId="167" formatCode="#,##0;\(#,##0\);\-"/>
      <alignment horizontal="left" vertical="bottom" textRotation="0" wrapText="0" indent="0" justifyLastLine="0" shrinkToFit="0" readingOrder="0"/>
    </dxf>
    <dxf>
      <fill>
        <patternFill patternType="solid">
          <fgColor rgb="FF000000"/>
          <bgColor rgb="FFF2F2F2"/>
        </patternFill>
      </fill>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alignment horizontal="left" vertical="bottom" textRotation="0" wrapText="0" indent="0" justifyLastLine="0" shrinkToFit="0" readingOrder="0"/>
    </dxf>
    <dxf>
      <numFmt numFmtId="167" formatCode="#,##0;\(#,##0\);\-"/>
      <alignment horizontal="left" vertical="bottom" textRotation="0" wrapText="0" indent="0" justifyLastLine="0" shrinkToFit="0" readingOrder="0"/>
    </dxf>
    <dxf>
      <fill>
        <patternFill patternType="solid">
          <fgColor rgb="FF000000"/>
          <bgColor rgb="FFF2F2F2"/>
        </patternFill>
      </fill>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protection locked="1" hidden="0"/>
    </dxf>
    <dxf>
      <alignment horizontal="left" vertical="bottom" textRotation="0" wrapText="0" indent="0" justifyLastLine="0" shrinkToFit="0" readingOrder="0"/>
    </dxf>
    <dxf>
      <numFmt numFmtId="167" formatCode="#,##0;\(#,##0\);\-"/>
      <alignment horizontal="lef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numFmt numFmtId="167" formatCode="#,##0;\(#,##0\);\-"/>
      <alignment horizontal="left" vertical="bottom" textRotation="0" wrapText="0" indent="0" justifyLastLine="0" shrinkToFit="0" readingOrder="0"/>
    </dxf>
    <dxf>
      <fill>
        <patternFill patternType="solid">
          <fgColor rgb="FF000000"/>
          <bgColor rgb="FFF2F2F2"/>
        </patternFill>
      </fill>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font>
        <color theme="8" tint="-0.499984740745262"/>
      </font>
      <numFmt numFmtId="172" formatCode="#,##0_ ;\-#,##0\ "/>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theme="0" tint="-4.9989318521683403E-2"/>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alignment horizontal="right" vertical="bottom" textRotation="0" wrapText="0" indent="0" justifyLastLine="0" shrinkToFit="0" readingOrder="0"/>
    </dxf>
    <dxf>
      <font>
        <color theme="8" tint="-0.499984740745262"/>
      </font>
      <numFmt numFmtId="172" formatCode="#,##0_ ;\-#,##0\ "/>
      <fill>
        <patternFill patternType="solid">
          <fgColor indexed="64"/>
          <bgColor rgb="FFFFCC99"/>
        </patternFill>
      </fill>
    </dxf>
    <dxf>
      <font>
        <color theme="8" tint="-0.499984740745262"/>
      </font>
      <numFmt numFmtId="172" formatCode="#,##0_ ;\-#,##0\ "/>
      <fill>
        <patternFill patternType="solid">
          <fgColor indexed="64"/>
          <bgColor rgb="FFFFCC99"/>
        </patternFill>
      </fill>
    </dxf>
    <dxf>
      <font>
        <color theme="8" tint="-0.499984740745262"/>
      </font>
      <numFmt numFmtId="172" formatCode="#,##0_ ;\-#,##0\ "/>
      <fill>
        <patternFill patternType="solid">
          <fgColor indexed="64"/>
          <bgColor rgb="FFFFCC99"/>
        </patternFill>
      </fill>
    </dxf>
    <dxf>
      <font>
        <color theme="8" tint="-0.499984740745262"/>
      </font>
      <numFmt numFmtId="172" formatCode="#,##0_ ;\-#,##0\ "/>
      <fill>
        <patternFill patternType="solid">
          <fgColor indexed="64"/>
          <bgColor rgb="FFFFCC99"/>
        </patternFill>
      </fill>
    </dxf>
    <dxf>
      <font>
        <color theme="8" tint="-0.499984740745262"/>
      </font>
      <numFmt numFmtId="172" formatCode="#,##0_ ;\-#,##0\ "/>
      <fill>
        <patternFill patternType="solid">
          <fgColor indexed="64"/>
          <bgColor rgb="FFFFCC99"/>
        </patternFill>
      </fill>
    </dxf>
    <dxf>
      <font>
        <color theme="8" tint="-0.499984740745262"/>
      </font>
      <numFmt numFmtId="172" formatCode="#,##0_ ;\-#,##0\ "/>
      <fill>
        <patternFill patternType="solid">
          <fgColor indexed="64"/>
          <bgColor rgb="FFFFCC99"/>
        </patternFill>
      </fill>
    </dxf>
    <dxf>
      <font>
        <color theme="8" tint="-0.499984740745262"/>
      </font>
      <numFmt numFmtId="172" formatCode="#,##0_ ;\-#,##0\ "/>
      <fill>
        <patternFill patternType="solid">
          <fgColor indexed="64"/>
          <bgColor rgb="FFFFCC99"/>
        </patternFill>
      </fill>
    </dxf>
    <dxf>
      <font>
        <color theme="8" tint="-0.499984740745262"/>
      </font>
      <numFmt numFmtId="172" formatCode="#,##0_ ;\-#,##0\ "/>
      <fill>
        <patternFill patternType="solid">
          <fgColor indexed="64"/>
          <bgColor rgb="FFFFCC99"/>
        </patternFill>
      </fill>
    </dxf>
    <dxf>
      <font>
        <color theme="8" tint="-0.499984740745262"/>
      </font>
      <numFmt numFmtId="172" formatCode="#,##0_ ;\-#,##0\ "/>
      <fill>
        <patternFill patternType="solid">
          <fgColor indexed="64"/>
          <bgColor rgb="FFFFCC99"/>
        </patternFill>
      </fill>
    </dxf>
    <dxf>
      <font>
        <color theme="8" tint="-0.499984740745262"/>
      </font>
      <numFmt numFmtId="172" formatCode="#,##0_ ;\-#,##0\ "/>
      <fill>
        <patternFill patternType="solid">
          <fgColor indexed="64"/>
          <bgColor rgb="FFFFCC99"/>
        </patternFill>
      </fill>
    </dxf>
    <dxf>
      <font>
        <color theme="8" tint="-0.499984740745262"/>
      </font>
      <numFmt numFmtId="172" formatCode="#,##0_ ;\-#,##0\ "/>
      <fill>
        <patternFill patternType="solid">
          <fgColor indexed="64"/>
          <bgColor rgb="FFFFCC99"/>
        </patternFill>
      </fill>
    </dxf>
    <dxf>
      <font>
        <color theme="8" tint="-0.499984740745262"/>
      </font>
      <numFmt numFmtId="172" formatCode="#,##0_ ;\-#,##0\ "/>
      <fill>
        <patternFill patternType="solid">
          <fgColor indexed="64"/>
          <bgColor rgb="FFFFCC99"/>
        </patternFill>
      </fill>
    </dxf>
    <dxf>
      <font>
        <color theme="8" tint="-0.499984740745262"/>
      </font>
      <numFmt numFmtId="172" formatCode="#,##0_ ;\-#,##0\ "/>
      <fill>
        <patternFill patternType="solid">
          <fgColor indexed="64"/>
          <bgColor rgb="FFFFCC99"/>
        </patternFill>
      </fill>
    </dxf>
    <dxf>
      <font>
        <color theme="8" tint="-0.499984740745262"/>
      </font>
      <numFmt numFmtId="172" formatCode="#,##0_ ;\-#,##0\ "/>
      <fill>
        <patternFill patternType="solid">
          <fgColor indexed="64"/>
          <bgColor rgb="FFFFCC99"/>
        </patternFill>
      </fill>
    </dxf>
    <dxf>
      <font>
        <color theme="8" tint="-0.499984740745262"/>
      </font>
      <numFmt numFmtId="172" formatCode="#,##0_ ;\-#,##0\ "/>
      <fill>
        <patternFill patternType="solid">
          <fgColor indexed="64"/>
          <bgColor rgb="FFFFCC99"/>
        </patternFill>
      </fill>
    </dxf>
    <dxf>
      <alignment horizontal="left" vertical="bottom" textRotation="0" wrapText="0" indent="0" justifyLastLine="0" shrinkToFit="0" readingOrder="0"/>
    </dxf>
    <dxf>
      <numFmt numFmtId="167" formatCode="#,##0;\(#,##0\);\-"/>
      <alignment horizontal="left" vertical="bottom" textRotation="0" wrapText="0"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s>
  <tableStyles count="0" defaultTableStyle="TableStyleMedium2" defaultPivotStyle="PivotStyleLight16"/>
  <colors>
    <mruColors>
      <color rgb="FFFFCC99"/>
      <color rgb="FFFFFFCC"/>
      <color rgb="FF1E3FA8"/>
      <color rgb="FF2A4982"/>
      <color rgb="FF243E6E"/>
      <color rgb="FF2E5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'Monthly cash flow'!$A$84</c:f>
              <c:strCache>
                <c:ptCount val="1"/>
                <c:pt idx="0">
                  <c:v>Closing cash</c:v>
                </c:pt>
              </c:strCache>
            </c:strRef>
          </c:tx>
          <c:spPr>
            <a:ln w="28575" cap="rnd">
              <a:solidFill>
                <a:schemeClr val="accent1"/>
              </a:solidFill>
              <a:round/>
            </a:ln>
            <a:effectLst/>
          </c:spPr>
          <c:marker>
            <c:symbol val="none"/>
          </c:marker>
          <c:cat>
            <c:numRef>
              <c:f>'Monthly cash flow'!$B$12:$AF$12</c:f>
              <c:numCache>
                <c:formatCode>mmm\-yy</c:formatCode>
                <c:ptCount val="31"/>
                <c:pt idx="0">
                  <c:v>44377</c:v>
                </c:pt>
                <c:pt idx="1">
                  <c:v>44408</c:v>
                </c:pt>
                <c:pt idx="2">
                  <c:v>44439</c:v>
                </c:pt>
                <c:pt idx="3">
                  <c:v>44469</c:v>
                </c:pt>
                <c:pt idx="4">
                  <c:v>44500</c:v>
                </c:pt>
                <c:pt idx="5">
                  <c:v>44530</c:v>
                </c:pt>
                <c:pt idx="6">
                  <c:v>44561</c:v>
                </c:pt>
                <c:pt idx="7">
                  <c:v>44592</c:v>
                </c:pt>
                <c:pt idx="8">
                  <c:v>44620</c:v>
                </c:pt>
                <c:pt idx="9">
                  <c:v>44651</c:v>
                </c:pt>
                <c:pt idx="10">
                  <c:v>44681</c:v>
                </c:pt>
                <c:pt idx="11">
                  <c:v>44712</c:v>
                </c:pt>
                <c:pt idx="12">
                  <c:v>44742</c:v>
                </c:pt>
                <c:pt idx="13">
                  <c:v>44773</c:v>
                </c:pt>
                <c:pt idx="14">
                  <c:v>44804</c:v>
                </c:pt>
                <c:pt idx="15">
                  <c:v>44834</c:v>
                </c:pt>
                <c:pt idx="16">
                  <c:v>44865</c:v>
                </c:pt>
                <c:pt idx="17">
                  <c:v>44895</c:v>
                </c:pt>
                <c:pt idx="18">
                  <c:v>44926</c:v>
                </c:pt>
                <c:pt idx="19">
                  <c:v>44957</c:v>
                </c:pt>
                <c:pt idx="20">
                  <c:v>44985</c:v>
                </c:pt>
                <c:pt idx="21">
                  <c:v>45016</c:v>
                </c:pt>
                <c:pt idx="22">
                  <c:v>45046</c:v>
                </c:pt>
                <c:pt idx="23">
                  <c:v>45077</c:v>
                </c:pt>
                <c:pt idx="24">
                  <c:v>45107</c:v>
                </c:pt>
                <c:pt idx="25">
                  <c:v>45138</c:v>
                </c:pt>
                <c:pt idx="26">
                  <c:v>45169</c:v>
                </c:pt>
                <c:pt idx="27">
                  <c:v>45199</c:v>
                </c:pt>
                <c:pt idx="28">
                  <c:v>45230</c:v>
                </c:pt>
                <c:pt idx="29">
                  <c:v>45260</c:v>
                </c:pt>
                <c:pt idx="30">
                  <c:v>45291</c:v>
                </c:pt>
              </c:numCache>
            </c:numRef>
          </c:cat>
          <c:val>
            <c:numRef>
              <c:f>'Monthly cash flow'!$B$85:$AF$85</c:f>
              <c:numCache>
                <c:formatCode>#,##0;\(#,##0\);\-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#N/A</c:v>
                </c:pt>
                <c:pt idx="27">
                  <c:v>#N/A</c:v>
                </c:pt>
                <c:pt idx="28">
                  <c:v>#N/A</c:v>
                </c:pt>
                <c:pt idx="29">
                  <c:v>#N/A</c:v>
                </c:pt>
                <c:pt idx="30">
                  <c:v>#N/A</c:v>
                </c:pt>
              </c:numCache>
            </c:numRef>
          </c:val>
          <c:smooth val="0"/>
          <c:extLst>
            <c:ext xmlns:c16="http://schemas.microsoft.com/office/drawing/2014/chart" uri="{C3380CC4-5D6E-409C-BE32-E72D297353CC}">
              <c16:uniqueId val="{00000000-E8D9-4F85-914F-619FBB6D3C42}"/>
            </c:ext>
          </c:extLst>
        </c:ser>
        <c:ser>
          <c:idx val="1"/>
          <c:order val="1"/>
          <c:tx>
            <c:v>O/D available</c:v>
          </c:tx>
          <c:spPr>
            <a:ln w="12700" cap="rnd">
              <a:solidFill>
                <a:schemeClr val="accent2"/>
              </a:solidFill>
              <a:round/>
            </a:ln>
            <a:effectLst/>
          </c:spPr>
          <c:marker>
            <c:symbol val="none"/>
          </c:marker>
          <c:cat>
            <c:numRef>
              <c:f>'Monthly cash flow'!$B$12:$AF$12</c:f>
              <c:numCache>
                <c:formatCode>mmm\-yy</c:formatCode>
                <c:ptCount val="31"/>
                <c:pt idx="0">
                  <c:v>44377</c:v>
                </c:pt>
                <c:pt idx="1">
                  <c:v>44408</c:v>
                </c:pt>
                <c:pt idx="2">
                  <c:v>44439</c:v>
                </c:pt>
                <c:pt idx="3">
                  <c:v>44469</c:v>
                </c:pt>
                <c:pt idx="4">
                  <c:v>44500</c:v>
                </c:pt>
                <c:pt idx="5">
                  <c:v>44530</c:v>
                </c:pt>
                <c:pt idx="6">
                  <c:v>44561</c:v>
                </c:pt>
                <c:pt idx="7">
                  <c:v>44592</c:v>
                </c:pt>
                <c:pt idx="8">
                  <c:v>44620</c:v>
                </c:pt>
                <c:pt idx="9">
                  <c:v>44651</c:v>
                </c:pt>
                <c:pt idx="10">
                  <c:v>44681</c:v>
                </c:pt>
                <c:pt idx="11">
                  <c:v>44712</c:v>
                </c:pt>
                <c:pt idx="12">
                  <c:v>44742</c:v>
                </c:pt>
                <c:pt idx="13">
                  <c:v>44773</c:v>
                </c:pt>
                <c:pt idx="14">
                  <c:v>44804</c:v>
                </c:pt>
                <c:pt idx="15">
                  <c:v>44834</c:v>
                </c:pt>
                <c:pt idx="16">
                  <c:v>44865</c:v>
                </c:pt>
                <c:pt idx="17">
                  <c:v>44895</c:v>
                </c:pt>
                <c:pt idx="18">
                  <c:v>44926</c:v>
                </c:pt>
                <c:pt idx="19">
                  <c:v>44957</c:v>
                </c:pt>
                <c:pt idx="20">
                  <c:v>44985</c:v>
                </c:pt>
                <c:pt idx="21">
                  <c:v>45016</c:v>
                </c:pt>
                <c:pt idx="22">
                  <c:v>45046</c:v>
                </c:pt>
                <c:pt idx="23">
                  <c:v>45077</c:v>
                </c:pt>
                <c:pt idx="24">
                  <c:v>45107</c:v>
                </c:pt>
                <c:pt idx="25">
                  <c:v>45138</c:v>
                </c:pt>
                <c:pt idx="26">
                  <c:v>45169</c:v>
                </c:pt>
                <c:pt idx="27">
                  <c:v>45199</c:v>
                </c:pt>
                <c:pt idx="28">
                  <c:v>45230</c:v>
                </c:pt>
                <c:pt idx="29">
                  <c:v>45260</c:v>
                </c:pt>
                <c:pt idx="30">
                  <c:v>45291</c:v>
                </c:pt>
              </c:numCache>
            </c:numRef>
          </c:cat>
          <c:val>
            <c:numRef>
              <c:f>'Monthly cash flow'!$B$82:$AF$82</c:f>
              <c:numCache>
                <c:formatCode>#,##0;\(#,##0\);\-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E8D9-4F85-914F-619FBB6D3C42}"/>
            </c:ext>
          </c:extLst>
        </c:ser>
        <c:dLbls>
          <c:showLegendKey val="0"/>
          <c:showVal val="0"/>
          <c:showCatName val="0"/>
          <c:showSerName val="0"/>
          <c:showPercent val="0"/>
          <c:showBubbleSize val="0"/>
        </c:dLbls>
        <c:smooth val="0"/>
        <c:axId val="567084432"/>
        <c:axId val="567086072"/>
      </c:lineChart>
      <c:dateAx>
        <c:axId val="56708443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086072"/>
        <c:crosses val="autoZero"/>
        <c:auto val="1"/>
        <c:lblOffset val="100"/>
        <c:baseTimeUnit val="months"/>
      </c:dateAx>
      <c:valAx>
        <c:axId val="5670860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0844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Cash days</c:v>
          </c:tx>
          <c:spPr>
            <a:ln w="28575" cap="rnd">
              <a:solidFill>
                <a:schemeClr val="accent1"/>
              </a:solidFill>
              <a:round/>
            </a:ln>
            <a:effectLst/>
          </c:spPr>
          <c:marker>
            <c:symbol val="none"/>
          </c:marker>
          <c:cat>
            <c:numRef>
              <c:f>'Monthly cash flow'!$B$12:$AF$12</c:f>
              <c:numCache>
                <c:formatCode>mmm\-yy</c:formatCode>
                <c:ptCount val="31"/>
                <c:pt idx="0">
                  <c:v>44377</c:v>
                </c:pt>
                <c:pt idx="1">
                  <c:v>44408</c:v>
                </c:pt>
                <c:pt idx="2">
                  <c:v>44439</c:v>
                </c:pt>
                <c:pt idx="3">
                  <c:v>44469</c:v>
                </c:pt>
                <c:pt idx="4">
                  <c:v>44500</c:v>
                </c:pt>
                <c:pt idx="5">
                  <c:v>44530</c:v>
                </c:pt>
                <c:pt idx="6">
                  <c:v>44561</c:v>
                </c:pt>
                <c:pt idx="7">
                  <c:v>44592</c:v>
                </c:pt>
                <c:pt idx="8">
                  <c:v>44620</c:v>
                </c:pt>
                <c:pt idx="9">
                  <c:v>44651</c:v>
                </c:pt>
                <c:pt idx="10">
                  <c:v>44681</c:v>
                </c:pt>
                <c:pt idx="11">
                  <c:v>44712</c:v>
                </c:pt>
                <c:pt idx="12">
                  <c:v>44742</c:v>
                </c:pt>
                <c:pt idx="13">
                  <c:v>44773</c:v>
                </c:pt>
                <c:pt idx="14">
                  <c:v>44804</c:v>
                </c:pt>
                <c:pt idx="15">
                  <c:v>44834</c:v>
                </c:pt>
                <c:pt idx="16">
                  <c:v>44865</c:v>
                </c:pt>
                <c:pt idx="17">
                  <c:v>44895</c:v>
                </c:pt>
                <c:pt idx="18">
                  <c:v>44926</c:v>
                </c:pt>
                <c:pt idx="19">
                  <c:v>44957</c:v>
                </c:pt>
                <c:pt idx="20">
                  <c:v>44985</c:v>
                </c:pt>
                <c:pt idx="21">
                  <c:v>45016</c:v>
                </c:pt>
                <c:pt idx="22">
                  <c:v>45046</c:v>
                </c:pt>
                <c:pt idx="23">
                  <c:v>45077</c:v>
                </c:pt>
                <c:pt idx="24">
                  <c:v>45107</c:v>
                </c:pt>
                <c:pt idx="25">
                  <c:v>45138</c:v>
                </c:pt>
                <c:pt idx="26">
                  <c:v>45169</c:v>
                </c:pt>
                <c:pt idx="27">
                  <c:v>45199</c:v>
                </c:pt>
                <c:pt idx="28">
                  <c:v>45230</c:v>
                </c:pt>
                <c:pt idx="29">
                  <c:v>45260</c:v>
                </c:pt>
                <c:pt idx="30">
                  <c:v>45291</c:v>
                </c:pt>
              </c:numCache>
            </c:numRef>
          </c:cat>
          <c:val>
            <c:numRef>
              <c:f>'Monthly cash flow'!$B$92:$AF$92</c:f>
              <c:numCache>
                <c:formatCode>0</c:formatCode>
                <c:ptCount val="3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numCache>
            </c:numRef>
          </c:val>
          <c:smooth val="0"/>
          <c:extLst>
            <c:ext xmlns:c16="http://schemas.microsoft.com/office/drawing/2014/chart" uri="{C3380CC4-5D6E-409C-BE32-E72D297353CC}">
              <c16:uniqueId val="{00000000-01A9-4C79-905D-1F1F980DEEAF}"/>
            </c:ext>
          </c:extLst>
        </c:ser>
        <c:ser>
          <c:idx val="1"/>
          <c:order val="1"/>
          <c:tx>
            <c:v>Trigger</c:v>
          </c:tx>
          <c:spPr>
            <a:ln w="12700" cap="rnd">
              <a:solidFill>
                <a:schemeClr val="accent2"/>
              </a:solidFill>
              <a:round/>
            </a:ln>
            <a:effectLst/>
          </c:spPr>
          <c:marker>
            <c:symbol val="none"/>
          </c:marker>
          <c:cat>
            <c:numRef>
              <c:f>'Monthly cash flow'!$B$12:$AF$12</c:f>
              <c:numCache>
                <c:formatCode>mmm\-yy</c:formatCode>
                <c:ptCount val="31"/>
                <c:pt idx="0">
                  <c:v>44377</c:v>
                </c:pt>
                <c:pt idx="1">
                  <c:v>44408</c:v>
                </c:pt>
                <c:pt idx="2">
                  <c:v>44439</c:v>
                </c:pt>
                <c:pt idx="3">
                  <c:v>44469</c:v>
                </c:pt>
                <c:pt idx="4">
                  <c:v>44500</c:v>
                </c:pt>
                <c:pt idx="5">
                  <c:v>44530</c:v>
                </c:pt>
                <c:pt idx="6">
                  <c:v>44561</c:v>
                </c:pt>
                <c:pt idx="7">
                  <c:v>44592</c:v>
                </c:pt>
                <c:pt idx="8">
                  <c:v>44620</c:v>
                </c:pt>
                <c:pt idx="9">
                  <c:v>44651</c:v>
                </c:pt>
                <c:pt idx="10">
                  <c:v>44681</c:v>
                </c:pt>
                <c:pt idx="11">
                  <c:v>44712</c:v>
                </c:pt>
                <c:pt idx="12">
                  <c:v>44742</c:v>
                </c:pt>
                <c:pt idx="13">
                  <c:v>44773</c:v>
                </c:pt>
                <c:pt idx="14">
                  <c:v>44804</c:v>
                </c:pt>
                <c:pt idx="15">
                  <c:v>44834</c:v>
                </c:pt>
                <c:pt idx="16">
                  <c:v>44865</c:v>
                </c:pt>
                <c:pt idx="17">
                  <c:v>44895</c:v>
                </c:pt>
                <c:pt idx="18">
                  <c:v>44926</c:v>
                </c:pt>
                <c:pt idx="19">
                  <c:v>44957</c:v>
                </c:pt>
                <c:pt idx="20">
                  <c:v>44985</c:v>
                </c:pt>
                <c:pt idx="21">
                  <c:v>45016</c:v>
                </c:pt>
                <c:pt idx="22">
                  <c:v>45046</c:v>
                </c:pt>
                <c:pt idx="23">
                  <c:v>45077</c:v>
                </c:pt>
                <c:pt idx="24">
                  <c:v>45107</c:v>
                </c:pt>
                <c:pt idx="25">
                  <c:v>45138</c:v>
                </c:pt>
                <c:pt idx="26">
                  <c:v>45169</c:v>
                </c:pt>
                <c:pt idx="27">
                  <c:v>45199</c:v>
                </c:pt>
                <c:pt idx="28">
                  <c:v>45230</c:v>
                </c:pt>
                <c:pt idx="29">
                  <c:v>45260</c:v>
                </c:pt>
                <c:pt idx="30">
                  <c:v>45291</c:v>
                </c:pt>
              </c:numCache>
            </c:numRef>
          </c:cat>
          <c:val>
            <c:numRef>
              <c:f>'Monthly cash flow'!$B$87:$AF$87</c:f>
              <c:numCache>
                <c:formatCode>General</c:formatCode>
                <c:ptCount val="31"/>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numCache>
            </c:numRef>
          </c:val>
          <c:smooth val="0"/>
          <c:extLst>
            <c:ext xmlns:c16="http://schemas.microsoft.com/office/drawing/2014/chart" uri="{C3380CC4-5D6E-409C-BE32-E72D297353CC}">
              <c16:uniqueId val="{00000001-01A9-4C79-905D-1F1F980DEEAF}"/>
            </c:ext>
          </c:extLst>
        </c:ser>
        <c:dLbls>
          <c:showLegendKey val="0"/>
          <c:showVal val="0"/>
          <c:showCatName val="0"/>
          <c:showSerName val="0"/>
          <c:showPercent val="0"/>
          <c:showBubbleSize val="0"/>
        </c:dLbls>
        <c:smooth val="0"/>
        <c:axId val="567084432"/>
        <c:axId val="567086072"/>
      </c:lineChart>
      <c:dateAx>
        <c:axId val="56708443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086072"/>
        <c:crosses val="autoZero"/>
        <c:auto val="1"/>
        <c:lblOffset val="100"/>
        <c:baseTimeUnit val="months"/>
      </c:dateAx>
      <c:valAx>
        <c:axId val="567086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0844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1121684</xdr:colOff>
      <xdr:row>4</xdr:row>
      <xdr:rowOff>161925</xdr:rowOff>
    </xdr:to>
    <xdr:pic>
      <xdr:nvPicPr>
        <xdr:cNvPr id="3" name="Picture 2">
          <a:extLst>
            <a:ext uri="{FF2B5EF4-FFF2-40B4-BE49-F238E27FC236}">
              <a16:creationId xmlns:a16="http://schemas.microsoft.com/office/drawing/2014/main" id="{C0AD20DB-54F3-4B4F-B522-6DAABBEE2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12259" cy="923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3</xdr:col>
      <xdr:colOff>503238</xdr:colOff>
      <xdr:row>8</xdr:row>
      <xdr:rowOff>6350</xdr:rowOff>
    </xdr:to>
    <xdr:pic>
      <xdr:nvPicPr>
        <xdr:cNvPr id="2" name="Picture 1">
          <a:extLst>
            <a:ext uri="{FF2B5EF4-FFF2-40B4-BE49-F238E27FC236}">
              <a16:creationId xmlns:a16="http://schemas.microsoft.com/office/drawing/2014/main" id="{697CFFBC-971A-4EA7-86CE-CD06595609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313" y="333375"/>
          <a:ext cx="2224088" cy="1023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1122</xdr:colOff>
      <xdr:row>0</xdr:row>
      <xdr:rowOff>91331</xdr:rowOff>
    </xdr:from>
    <xdr:to>
      <xdr:col>8</xdr:col>
      <xdr:colOff>504825</xdr:colOff>
      <xdr:row>6</xdr:row>
      <xdr:rowOff>133350</xdr:rowOff>
    </xdr:to>
    <xdr:graphicFrame macro="">
      <xdr:nvGraphicFramePr>
        <xdr:cNvPr id="2" name="Chart 1">
          <a:extLst>
            <a:ext uri="{FF2B5EF4-FFF2-40B4-BE49-F238E27FC236}">
              <a16:creationId xmlns:a16="http://schemas.microsoft.com/office/drawing/2014/main" id="{DF98E804-C483-49C3-BB20-D1333EA486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430016</xdr:colOff>
      <xdr:row>0</xdr:row>
      <xdr:rowOff>90762</xdr:rowOff>
    </xdr:from>
    <xdr:to>
      <xdr:col>15</xdr:col>
      <xdr:colOff>392206</xdr:colOff>
      <xdr:row>6</xdr:row>
      <xdr:rowOff>134472</xdr:rowOff>
    </xdr:to>
    <xdr:graphicFrame macro="">
      <xdr:nvGraphicFramePr>
        <xdr:cNvPr id="20" name="Chart 2">
          <a:extLst>
            <a:ext uri="{FF2B5EF4-FFF2-40B4-BE49-F238E27FC236}">
              <a16:creationId xmlns:a16="http://schemas.microsoft.com/office/drawing/2014/main" id="{5E06155B-39C6-4EC6-98E2-31C98247057F}"/>
            </a:ext>
            <a:ext uri="{147F2762-F138-4A5C-976F-8EAC2B608ADB}">
              <a16:predDERef xmlns:a16="http://schemas.microsoft.com/office/drawing/2014/main" pre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OperatingReceipts" displayName="OperatingReceipts" ref="A16:AF28" headerRowDxfId="342" dataDxfId="341">
  <autoFilter ref="A16:AF28" xr:uid="{00000000-0009-0000-0100-000003000000}"/>
  <tableColumns count="32">
    <tableColumn id="1" xr3:uid="{00000000-0010-0000-0000-000001000000}" name="Description" totalsRowLabel="Total Operating" dataDxfId="340" totalsRowDxfId="339"/>
    <tableColumn id="2" xr3:uid="{00000000-0010-0000-0000-000002000000}" name="Month 1" totalsRowFunction="sum" dataDxfId="338" dataCellStyle="Comma"/>
    <tableColumn id="3" xr3:uid="{00000000-0010-0000-0000-000003000000}" name="Month 2" totalsRowFunction="sum" dataDxfId="337" dataCellStyle="Comma"/>
    <tableColumn id="4" xr3:uid="{00000000-0010-0000-0000-000004000000}" name="Month 3" totalsRowFunction="sum" dataDxfId="336" dataCellStyle="Comma"/>
    <tableColumn id="5" xr3:uid="{00000000-0010-0000-0000-000005000000}" name="Month 4" totalsRowFunction="sum" dataDxfId="335" dataCellStyle="Comma"/>
    <tableColumn id="6" xr3:uid="{00000000-0010-0000-0000-000006000000}" name="Month 5" totalsRowFunction="sum" dataDxfId="334" dataCellStyle="Comma"/>
    <tableColumn id="7" xr3:uid="{00000000-0010-0000-0000-000007000000}" name="Month 6" totalsRowFunction="sum" dataDxfId="333" dataCellStyle="Comma"/>
    <tableColumn id="8" xr3:uid="{00000000-0010-0000-0000-000008000000}" name="Month 7" totalsRowFunction="sum" dataDxfId="332" dataCellStyle="Comma"/>
    <tableColumn id="9" xr3:uid="{00000000-0010-0000-0000-000009000000}" name="Month 8" totalsRowFunction="sum" dataDxfId="331" dataCellStyle="Comma"/>
    <tableColumn id="10" xr3:uid="{00000000-0010-0000-0000-00000A000000}" name="Month 9" totalsRowFunction="sum" dataDxfId="330" dataCellStyle="Comma"/>
    <tableColumn id="11" xr3:uid="{00000000-0010-0000-0000-00000B000000}" name="Month 10" totalsRowFunction="sum" dataDxfId="329" dataCellStyle="Comma"/>
    <tableColumn id="12" xr3:uid="{00000000-0010-0000-0000-00000C000000}" name="Month 11" totalsRowFunction="sum" dataDxfId="328" dataCellStyle="Comma"/>
    <tableColumn id="13" xr3:uid="{00000000-0010-0000-0000-00000D000000}" name="Month 12" totalsRowFunction="sum" dataDxfId="327" dataCellStyle="Comma"/>
    <tableColumn id="14" xr3:uid="{00000000-0010-0000-0000-00000E000000}" name="Month 13" totalsRowFunction="sum" dataDxfId="326" dataCellStyle="Comma"/>
    <tableColumn id="15" xr3:uid="{00000000-0010-0000-0000-00000F000000}" name="Month 14" totalsRowFunction="sum" dataDxfId="325" dataCellStyle="Comma"/>
    <tableColumn id="16" xr3:uid="{00000000-0010-0000-0000-000010000000}" name="Month 15" totalsRowFunction="sum" dataDxfId="324" dataCellStyle="Comma"/>
    <tableColumn id="17" xr3:uid="{00000000-0010-0000-0000-000011000000}" name="Month 16" dataDxfId="323" dataCellStyle="Comma"/>
    <tableColumn id="18" xr3:uid="{00000000-0010-0000-0000-000012000000}" name="Month 17" dataDxfId="322" dataCellStyle="Comma"/>
    <tableColumn id="19" xr3:uid="{00000000-0010-0000-0000-000013000000}" name="Month 18" dataDxfId="321" dataCellStyle="Comma"/>
    <tableColumn id="20" xr3:uid="{00000000-0010-0000-0000-000014000000}" name="Month 19" dataDxfId="320" dataCellStyle="Comma"/>
    <tableColumn id="21" xr3:uid="{00000000-0010-0000-0000-000015000000}" name="Month 20" dataDxfId="319" dataCellStyle="Comma"/>
    <tableColumn id="22" xr3:uid="{00000000-0010-0000-0000-000016000000}" name="Month 21" dataDxfId="318" dataCellStyle="Comma"/>
    <tableColumn id="23" xr3:uid="{00000000-0010-0000-0000-000017000000}" name="Month 22" dataDxfId="317" dataCellStyle="Comma"/>
    <tableColumn id="24" xr3:uid="{00000000-0010-0000-0000-000018000000}" name="Month 23" dataDxfId="316" dataCellStyle="Comma"/>
    <tableColumn id="25" xr3:uid="{00000000-0010-0000-0000-000019000000}" name="Month 24" dataDxfId="315" dataCellStyle="Comma"/>
    <tableColumn id="26" xr3:uid="{00000000-0010-0000-0000-00001A000000}" name="Column1" dataDxfId="314" dataCellStyle="Comma"/>
    <tableColumn id="27" xr3:uid="{00000000-0010-0000-0000-00001B000000}" name="Column2" dataDxfId="313" dataCellStyle="Comma"/>
    <tableColumn id="28" xr3:uid="{00000000-0010-0000-0000-00001C000000}" name="Column3" dataDxfId="312" dataCellStyle="Comma"/>
    <tableColumn id="29" xr3:uid="{D3BE6055-13B6-44D9-B056-3F316E310E91}" name="Column4" dataDxfId="311" dataCellStyle="Comma"/>
    <tableColumn id="30" xr3:uid="{81E4CD79-E5F2-4CC6-BDD5-CDF5058AA03B}" name="Column5" dataDxfId="310" dataCellStyle="Comma"/>
    <tableColumn id="31" xr3:uid="{79B3A74E-C699-43C0-BAFD-397DC279B892}" name="Column6" dataDxfId="309" dataCellStyle="Comma"/>
    <tableColumn id="32" xr3:uid="{EB0DF3D5-A9B1-4E3B-A657-19EF0BE8EB41}" name="Column7" dataDxfId="308"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InvestingReceipts" displayName="InvestingReceipts" ref="A44:AF47" headerRowDxfId="307" dataDxfId="306">
  <autoFilter ref="A44:AF47" xr:uid="{00000000-0009-0000-0100-000006000000}"/>
  <tableColumns count="32">
    <tableColumn id="1" xr3:uid="{00000000-0010-0000-0100-000001000000}" name="Description" totalsRowLabel="Total Operating" dataDxfId="305"/>
    <tableColumn id="2" xr3:uid="{00000000-0010-0000-0100-000002000000}" name="Month 1" totalsRowFunction="sum" dataDxfId="304" dataCellStyle="Comma"/>
    <tableColumn id="3" xr3:uid="{00000000-0010-0000-0100-000003000000}" name="Month 2" totalsRowFunction="sum" dataDxfId="303" dataCellStyle="Comma"/>
    <tableColumn id="4" xr3:uid="{00000000-0010-0000-0100-000004000000}" name="Month 3" totalsRowFunction="sum" dataDxfId="302" dataCellStyle="Comma"/>
    <tableColumn id="5" xr3:uid="{00000000-0010-0000-0100-000005000000}" name="Month 4" totalsRowFunction="sum" dataDxfId="301" dataCellStyle="Comma"/>
    <tableColumn id="6" xr3:uid="{00000000-0010-0000-0100-000006000000}" name="Month 5" totalsRowFunction="sum" dataDxfId="300" dataCellStyle="Comma"/>
    <tableColumn id="7" xr3:uid="{00000000-0010-0000-0100-000007000000}" name="Month 6" totalsRowFunction="sum" dataDxfId="299" dataCellStyle="Comma"/>
    <tableColumn id="8" xr3:uid="{00000000-0010-0000-0100-000008000000}" name="Month 7" totalsRowFunction="sum" dataDxfId="298" dataCellStyle="Comma"/>
    <tableColumn id="9" xr3:uid="{00000000-0010-0000-0100-000009000000}" name="Month 8" totalsRowFunction="sum" dataDxfId="297" dataCellStyle="Comma"/>
    <tableColumn id="10" xr3:uid="{00000000-0010-0000-0100-00000A000000}" name="Month 9" totalsRowFunction="sum" dataDxfId="296" dataCellStyle="Comma"/>
    <tableColumn id="11" xr3:uid="{00000000-0010-0000-0100-00000B000000}" name="Month 10" totalsRowFunction="sum" dataDxfId="295" dataCellStyle="Comma"/>
    <tableColumn id="12" xr3:uid="{00000000-0010-0000-0100-00000C000000}" name="Month 11" totalsRowFunction="sum" dataDxfId="294" dataCellStyle="Comma"/>
    <tableColumn id="13" xr3:uid="{00000000-0010-0000-0100-00000D000000}" name="Month 12" totalsRowFunction="sum" dataDxfId="293" dataCellStyle="Comma"/>
    <tableColumn id="14" xr3:uid="{00000000-0010-0000-0100-00000E000000}" name="Month 13" totalsRowFunction="sum" dataDxfId="292" dataCellStyle="Comma"/>
    <tableColumn id="15" xr3:uid="{00000000-0010-0000-0100-00000F000000}" name="Month 14" totalsRowFunction="sum" dataDxfId="291" dataCellStyle="Comma"/>
    <tableColumn id="16" xr3:uid="{00000000-0010-0000-0100-000010000000}" name="Month 15" totalsRowFunction="sum" dataDxfId="290" dataCellStyle="Comma"/>
    <tableColumn id="17" xr3:uid="{00000000-0010-0000-0100-000011000000}" name="Month 16" dataDxfId="289" dataCellStyle="Comma"/>
    <tableColumn id="18" xr3:uid="{00000000-0010-0000-0100-000012000000}" name="Month 17" dataDxfId="288" dataCellStyle="Comma"/>
    <tableColumn id="19" xr3:uid="{00000000-0010-0000-0100-000013000000}" name="Month 18" dataDxfId="287" dataCellStyle="Comma"/>
    <tableColumn id="20" xr3:uid="{00000000-0010-0000-0100-000014000000}" name="Month 19" dataDxfId="286" dataCellStyle="Comma"/>
    <tableColumn id="21" xr3:uid="{00000000-0010-0000-0100-000015000000}" name="Month 20" dataDxfId="285" dataCellStyle="Comma"/>
    <tableColumn id="22" xr3:uid="{00000000-0010-0000-0100-000016000000}" name="Month 21" dataDxfId="284" dataCellStyle="Comma"/>
    <tableColumn id="23" xr3:uid="{00000000-0010-0000-0100-000017000000}" name="Month 22" dataDxfId="283" dataCellStyle="Comma"/>
    <tableColumn id="24" xr3:uid="{00000000-0010-0000-0100-000018000000}" name="Month 23" dataDxfId="282" dataCellStyle="Comma"/>
    <tableColumn id="25" xr3:uid="{00000000-0010-0000-0100-000019000000}" name="Month 24" dataDxfId="281" dataCellStyle="Comma"/>
    <tableColumn id="26" xr3:uid="{00000000-0010-0000-0100-00001A000000}" name="Column1" dataDxfId="280" dataCellStyle="Comma"/>
    <tableColumn id="27" xr3:uid="{00000000-0010-0000-0100-00001B000000}" name="Column2" dataDxfId="279" dataCellStyle="Comma"/>
    <tableColumn id="28" xr3:uid="{00000000-0010-0000-0100-00001C000000}" name="Column3" dataDxfId="278" dataCellStyle="Comma"/>
    <tableColumn id="29" xr3:uid="{E30CBE77-C589-4D1D-A7E2-D9F2497DBDDB}" name="Column4" dataDxfId="277" dataCellStyle="Comma"/>
    <tableColumn id="30" xr3:uid="{EB7E4871-22A6-4CAF-961A-15E05A3F14A9}" name="Column5" dataDxfId="276" dataCellStyle="Comma"/>
    <tableColumn id="31" xr3:uid="{2678AADE-BE4E-41BA-BEB3-D37D59CCEDCD}" name="Column6" dataDxfId="275" dataCellStyle="Comma"/>
    <tableColumn id="32" xr3:uid="{E432113E-58D2-4765-88A7-C8AED63D4A9A}" name="Column7" dataDxfId="274"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OperatingPayments" displayName="OperatingPayments" ref="A31:AF36" headerRowDxfId="273" dataDxfId="272">
  <autoFilter ref="A31:AF36" xr:uid="{00000000-0009-0000-0100-000007000000}"/>
  <tableColumns count="32">
    <tableColumn id="1" xr3:uid="{00000000-0010-0000-0200-000001000000}" name="Description" totalsRowLabel="Total Operating" dataDxfId="271" totalsRowDxfId="270"/>
    <tableColumn id="2" xr3:uid="{00000000-0010-0000-0200-000002000000}" name="Month 1" totalsRowFunction="sum" dataDxfId="269" dataCellStyle="Comma"/>
    <tableColumn id="3" xr3:uid="{00000000-0010-0000-0200-000003000000}" name="Month 2" totalsRowFunction="sum" dataDxfId="268" dataCellStyle="Comma"/>
    <tableColumn id="4" xr3:uid="{00000000-0010-0000-0200-000004000000}" name="Month 3" totalsRowFunction="sum" dataDxfId="267" dataCellStyle="Comma"/>
    <tableColumn id="5" xr3:uid="{00000000-0010-0000-0200-000005000000}" name="Month 4" totalsRowFunction="sum" dataDxfId="266" dataCellStyle="Comma"/>
    <tableColumn id="6" xr3:uid="{00000000-0010-0000-0200-000006000000}" name="Month 5" totalsRowFunction="sum" dataDxfId="265" dataCellStyle="Comma"/>
    <tableColumn id="7" xr3:uid="{00000000-0010-0000-0200-000007000000}" name="Month 6" totalsRowFunction="sum" dataDxfId="264" dataCellStyle="Comma"/>
    <tableColumn id="8" xr3:uid="{00000000-0010-0000-0200-000008000000}" name="Month 7" totalsRowFunction="sum" dataDxfId="263" dataCellStyle="Comma"/>
    <tableColumn id="9" xr3:uid="{00000000-0010-0000-0200-000009000000}" name="Month 8" totalsRowFunction="sum" dataDxfId="262" dataCellStyle="Comma"/>
    <tableColumn id="10" xr3:uid="{00000000-0010-0000-0200-00000A000000}" name="Month 9" totalsRowFunction="sum" dataDxfId="261" dataCellStyle="Comma"/>
    <tableColumn id="11" xr3:uid="{00000000-0010-0000-0200-00000B000000}" name="Month 10" totalsRowFunction="sum" dataDxfId="260" dataCellStyle="Comma"/>
    <tableColumn id="12" xr3:uid="{00000000-0010-0000-0200-00000C000000}" name="Month 11" totalsRowFunction="sum" dataDxfId="259" dataCellStyle="Comma"/>
    <tableColumn id="13" xr3:uid="{00000000-0010-0000-0200-00000D000000}" name="Month 12" totalsRowFunction="sum" dataDxfId="258" dataCellStyle="Comma"/>
    <tableColumn id="14" xr3:uid="{00000000-0010-0000-0200-00000E000000}" name="Month 13" totalsRowFunction="sum" dataDxfId="257" dataCellStyle="Comma"/>
    <tableColumn id="15" xr3:uid="{00000000-0010-0000-0200-00000F000000}" name="Month 14" totalsRowFunction="sum" dataDxfId="256" dataCellStyle="Comma"/>
    <tableColumn id="16" xr3:uid="{00000000-0010-0000-0200-000010000000}" name="Month 15" totalsRowFunction="sum" dataDxfId="255" dataCellStyle="Comma"/>
    <tableColumn id="17" xr3:uid="{00000000-0010-0000-0200-000011000000}" name="Column6" dataDxfId="254" dataCellStyle="Comma"/>
    <tableColumn id="18" xr3:uid="{00000000-0010-0000-0200-000012000000}" name="Column7" dataDxfId="253" dataCellStyle="Comma"/>
    <tableColumn id="19" xr3:uid="{00000000-0010-0000-0200-000013000000}" name="Column8" dataDxfId="252" dataCellStyle="Comma"/>
    <tableColumn id="20" xr3:uid="{00000000-0010-0000-0200-000014000000}" name="Column9" dataDxfId="251" dataCellStyle="Comma"/>
    <tableColumn id="21" xr3:uid="{00000000-0010-0000-0200-000015000000}" name="Column10" dataDxfId="250" dataCellStyle="Comma"/>
    <tableColumn id="22" xr3:uid="{00000000-0010-0000-0200-000016000000}" name="Column11" dataDxfId="249" dataCellStyle="Comma"/>
    <tableColumn id="23" xr3:uid="{00000000-0010-0000-0200-000017000000}" name="Column12" dataDxfId="248" dataCellStyle="Comma"/>
    <tableColumn id="24" xr3:uid="{00000000-0010-0000-0200-000018000000}" name="Column13" dataDxfId="247" dataCellStyle="Comma"/>
    <tableColumn id="25" xr3:uid="{00000000-0010-0000-0200-000019000000}" name="Column14" dataDxfId="246" dataCellStyle="Comma"/>
    <tableColumn id="26" xr3:uid="{00000000-0010-0000-0200-00001A000000}" name="Column1" dataDxfId="245" dataCellStyle="Comma"/>
    <tableColumn id="27" xr3:uid="{00000000-0010-0000-0200-00001B000000}" name="Column2" dataDxfId="244" dataCellStyle="Comma"/>
    <tableColumn id="28" xr3:uid="{00000000-0010-0000-0200-00001C000000}" name="Column3" dataDxfId="243" dataCellStyle="Comma"/>
    <tableColumn id="29" xr3:uid="{130092D6-CC32-4558-BBB7-0A80B60484D0}" name="Column4" dataDxfId="242" dataCellStyle="Comma"/>
    <tableColumn id="30" xr3:uid="{97980EE9-9131-4034-9955-88F7A0477425}" name="Column5" dataDxfId="241" dataCellStyle="Comma"/>
    <tableColumn id="31" xr3:uid="{3EBE0701-4C15-46A9-B1EB-9F5CA24BF3F3}" name="Column52" dataDxfId="240" dataCellStyle="Comma"/>
    <tableColumn id="32" xr3:uid="{C7BBED5F-6E0B-4753-A05C-BEBB7E5E99AA}" name="Column53" dataDxfId="239"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InvestingPayments" displayName="InvestingPayments" ref="A50:AF53" headerRowDxfId="238" dataDxfId="237">
  <autoFilter ref="A50:AF53" xr:uid="{00000000-0009-0000-0100-000009000000}"/>
  <tableColumns count="32">
    <tableColumn id="1" xr3:uid="{00000000-0010-0000-0300-000001000000}" name="Description" totalsRowLabel="Total Operating" dataDxfId="236" totalsRowDxfId="235"/>
    <tableColumn id="2" xr3:uid="{00000000-0010-0000-0300-000002000000}" name="Month 1" totalsRowFunction="sum" dataDxfId="234" totalsRowDxfId="233" dataCellStyle="Comma"/>
    <tableColumn id="3" xr3:uid="{00000000-0010-0000-0300-000003000000}" name="Month 2" totalsRowFunction="sum" dataDxfId="232" totalsRowDxfId="231" dataCellStyle="Comma"/>
    <tableColumn id="4" xr3:uid="{00000000-0010-0000-0300-000004000000}" name="Month 3" totalsRowFunction="sum" dataDxfId="230" totalsRowDxfId="229" dataCellStyle="Comma"/>
    <tableColumn id="5" xr3:uid="{00000000-0010-0000-0300-000005000000}" name="Month 4" totalsRowFunction="sum" dataDxfId="228" totalsRowDxfId="227" dataCellStyle="Comma"/>
    <tableColumn id="6" xr3:uid="{00000000-0010-0000-0300-000006000000}" name="Month 5" totalsRowFunction="sum" dataDxfId="226" totalsRowDxfId="225" dataCellStyle="Comma"/>
    <tableColumn id="7" xr3:uid="{00000000-0010-0000-0300-000007000000}" name="Month 6" totalsRowFunction="sum" dataDxfId="224" totalsRowDxfId="223" dataCellStyle="Comma"/>
    <tableColumn id="8" xr3:uid="{00000000-0010-0000-0300-000008000000}" name="Month 7" totalsRowFunction="sum" dataDxfId="222" totalsRowDxfId="221" dataCellStyle="Comma"/>
    <tableColumn id="9" xr3:uid="{00000000-0010-0000-0300-000009000000}" name="Month 8" totalsRowFunction="sum" dataDxfId="220" totalsRowDxfId="219" dataCellStyle="Comma"/>
    <tableColumn id="10" xr3:uid="{00000000-0010-0000-0300-00000A000000}" name="Month 9" totalsRowFunction="sum" dataDxfId="218" totalsRowDxfId="217" dataCellStyle="Comma"/>
    <tableColumn id="11" xr3:uid="{00000000-0010-0000-0300-00000B000000}" name="Month 10" totalsRowFunction="sum" dataDxfId="216" totalsRowDxfId="215" dataCellStyle="Comma"/>
    <tableColumn id="12" xr3:uid="{00000000-0010-0000-0300-00000C000000}" name="Month 11" totalsRowFunction="sum" dataDxfId="214" totalsRowDxfId="213" dataCellStyle="Comma"/>
    <tableColumn id="13" xr3:uid="{00000000-0010-0000-0300-00000D000000}" name="Month 12" totalsRowFunction="sum" dataDxfId="212" totalsRowDxfId="211" dataCellStyle="Comma"/>
    <tableColumn id="14" xr3:uid="{00000000-0010-0000-0300-00000E000000}" name="Month 13" totalsRowFunction="sum" dataDxfId="210" totalsRowDxfId="209" dataCellStyle="Comma"/>
    <tableColumn id="15" xr3:uid="{00000000-0010-0000-0300-00000F000000}" name="Month 14" totalsRowFunction="sum" dataDxfId="208" totalsRowDxfId="207" dataCellStyle="Comma"/>
    <tableColumn id="16" xr3:uid="{00000000-0010-0000-0300-000010000000}" name="Month 15" totalsRowFunction="sum" dataDxfId="206" totalsRowDxfId="205" dataCellStyle="Comma"/>
    <tableColumn id="17" xr3:uid="{00000000-0010-0000-0300-000011000000}" name="Column6" dataDxfId="204" totalsRowDxfId="203" dataCellStyle="Comma"/>
    <tableColumn id="18" xr3:uid="{00000000-0010-0000-0300-000012000000}" name="Column7" dataDxfId="202" totalsRowDxfId="201" dataCellStyle="Comma"/>
    <tableColumn id="19" xr3:uid="{00000000-0010-0000-0300-000013000000}" name="Column8" dataDxfId="200" totalsRowDxfId="199" dataCellStyle="Comma"/>
    <tableColumn id="20" xr3:uid="{00000000-0010-0000-0300-000014000000}" name="Column9" dataDxfId="198" totalsRowDxfId="197" dataCellStyle="Comma"/>
    <tableColumn id="21" xr3:uid="{00000000-0010-0000-0300-000015000000}" name="Column10" dataDxfId="196" totalsRowDxfId="195" dataCellStyle="Comma"/>
    <tableColumn id="22" xr3:uid="{00000000-0010-0000-0300-000016000000}" name="Column11" dataDxfId="194" totalsRowDxfId="193" dataCellStyle="Comma"/>
    <tableColumn id="23" xr3:uid="{00000000-0010-0000-0300-000017000000}" name="Column12" dataDxfId="192" totalsRowDxfId="191" dataCellStyle="Comma"/>
    <tableColumn id="24" xr3:uid="{00000000-0010-0000-0300-000018000000}" name="Column13" dataDxfId="190" totalsRowDxfId="189" dataCellStyle="Comma"/>
    <tableColumn id="25" xr3:uid="{00000000-0010-0000-0300-000019000000}" name="Column14" dataDxfId="188" totalsRowDxfId="187" dataCellStyle="Comma"/>
    <tableColumn id="26" xr3:uid="{00000000-0010-0000-0300-00001A000000}" name="Column1" dataDxfId="186" totalsRowDxfId="185" dataCellStyle="Comma"/>
    <tableColumn id="27" xr3:uid="{00000000-0010-0000-0300-00001B000000}" name="Column2" dataDxfId="184" totalsRowDxfId="183" dataCellStyle="Comma"/>
    <tableColumn id="28" xr3:uid="{00000000-0010-0000-0300-00001C000000}" name="Column3" dataDxfId="182" totalsRowDxfId="181" dataCellStyle="Comma"/>
    <tableColumn id="29" xr3:uid="{B846F06D-631E-4F0B-8B1B-46BD9C0CE0D9}" name="Column4" dataDxfId="180" totalsRowDxfId="179" dataCellStyle="Comma"/>
    <tableColumn id="30" xr3:uid="{3CDE8263-DF2E-4E8A-A154-26F9F2222E6D}" name="Column5" dataDxfId="178" totalsRowDxfId="177" dataCellStyle="Comma"/>
    <tableColumn id="31" xr3:uid="{0C882408-CFFF-4F7D-A4EE-B54B68940B47}" name="Column52" dataDxfId="176" totalsRowDxfId="175" dataCellStyle="Comma"/>
    <tableColumn id="32" xr3:uid="{5FC51D20-92F9-4B1B-ABFB-61017FEB1208}" name="Column53" dataDxfId="174" totalsRowDxfId="173"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FinancingReceipts" displayName="FinancingReceipts" ref="A61:AF65" headerRowDxfId="172" dataDxfId="171">
  <autoFilter ref="A61:AF65" xr:uid="{00000000-0009-0000-0100-000008000000}"/>
  <tableColumns count="32">
    <tableColumn id="1" xr3:uid="{00000000-0010-0000-0400-000001000000}" name="Description" totalsRowLabel="Total Operating" dataDxfId="170" totalsRowDxfId="169"/>
    <tableColumn id="2" xr3:uid="{00000000-0010-0000-0400-000002000000}" name="Month 1" totalsRowFunction="sum" dataDxfId="168" totalsRowDxfId="167" dataCellStyle="Comma"/>
    <tableColumn id="3" xr3:uid="{00000000-0010-0000-0400-000003000000}" name="Month 2" totalsRowFunction="sum" dataDxfId="166" totalsRowDxfId="165" dataCellStyle="Comma"/>
    <tableColumn id="4" xr3:uid="{00000000-0010-0000-0400-000004000000}" name="Month 3" totalsRowFunction="sum" dataDxfId="164" totalsRowDxfId="163" dataCellStyle="Comma"/>
    <tableColumn id="5" xr3:uid="{00000000-0010-0000-0400-000005000000}" name="Month 4" totalsRowFunction="sum" dataDxfId="162" totalsRowDxfId="161" dataCellStyle="Comma"/>
    <tableColumn id="6" xr3:uid="{00000000-0010-0000-0400-000006000000}" name="Month 5" totalsRowFunction="sum" dataDxfId="160" totalsRowDxfId="159" dataCellStyle="Comma"/>
    <tableColumn id="7" xr3:uid="{00000000-0010-0000-0400-000007000000}" name="Month 6" totalsRowFunction="sum" dataDxfId="158" totalsRowDxfId="157" dataCellStyle="Comma"/>
    <tableColumn id="8" xr3:uid="{00000000-0010-0000-0400-000008000000}" name="Month 7" totalsRowFunction="sum" dataDxfId="156" totalsRowDxfId="155" dataCellStyle="Comma"/>
    <tableColumn id="9" xr3:uid="{00000000-0010-0000-0400-000009000000}" name="Month 8" totalsRowFunction="sum" dataDxfId="154" totalsRowDxfId="153" dataCellStyle="Comma"/>
    <tableColumn id="10" xr3:uid="{00000000-0010-0000-0400-00000A000000}" name="Month 9" totalsRowFunction="sum" dataDxfId="152" totalsRowDxfId="151" dataCellStyle="Comma"/>
    <tableColumn id="11" xr3:uid="{00000000-0010-0000-0400-00000B000000}" name="Month 10" totalsRowFunction="sum" dataDxfId="150" totalsRowDxfId="149" dataCellStyle="Comma"/>
    <tableColumn id="12" xr3:uid="{00000000-0010-0000-0400-00000C000000}" name="Month 11" totalsRowFunction="sum" dataDxfId="148" totalsRowDxfId="147" dataCellStyle="Comma"/>
    <tableColumn id="13" xr3:uid="{00000000-0010-0000-0400-00000D000000}" name="Month 12" totalsRowFunction="sum" dataDxfId="146" totalsRowDxfId="145" dataCellStyle="Comma"/>
    <tableColumn id="14" xr3:uid="{00000000-0010-0000-0400-00000E000000}" name="Month 13" totalsRowFunction="sum" dataDxfId="144" totalsRowDxfId="143" dataCellStyle="Comma"/>
    <tableColumn id="15" xr3:uid="{00000000-0010-0000-0400-00000F000000}" name="Month 14" totalsRowFunction="sum" dataDxfId="142" totalsRowDxfId="141" dataCellStyle="Comma"/>
    <tableColumn id="16" xr3:uid="{00000000-0010-0000-0400-000010000000}" name="Month 15" totalsRowFunction="sum" dataDxfId="140" totalsRowDxfId="139" dataCellStyle="Comma"/>
    <tableColumn id="17" xr3:uid="{00000000-0010-0000-0400-000011000000}" name="Month 16" dataDxfId="138" totalsRowDxfId="137" dataCellStyle="Comma"/>
    <tableColumn id="18" xr3:uid="{00000000-0010-0000-0400-000012000000}" name="Month 17" dataDxfId="136" totalsRowDxfId="135" dataCellStyle="Comma"/>
    <tableColumn id="19" xr3:uid="{00000000-0010-0000-0400-000013000000}" name="Month 18" dataDxfId="134" totalsRowDxfId="133" dataCellStyle="Comma"/>
    <tableColumn id="20" xr3:uid="{00000000-0010-0000-0400-000014000000}" name="Month 19" dataDxfId="132" totalsRowDxfId="131" dataCellStyle="Comma"/>
    <tableColumn id="21" xr3:uid="{00000000-0010-0000-0400-000015000000}" name="Month 20" dataDxfId="130" totalsRowDxfId="129" dataCellStyle="Comma"/>
    <tableColumn id="22" xr3:uid="{00000000-0010-0000-0400-000016000000}" name="Month 21" dataDxfId="128" totalsRowDxfId="127" dataCellStyle="Comma"/>
    <tableColumn id="23" xr3:uid="{00000000-0010-0000-0400-000017000000}" name="Month 22" dataDxfId="126" totalsRowDxfId="125" dataCellStyle="Comma"/>
    <tableColumn id="24" xr3:uid="{00000000-0010-0000-0400-000018000000}" name="Month 23" dataDxfId="124" totalsRowDxfId="123" dataCellStyle="Comma"/>
    <tableColumn id="25" xr3:uid="{00000000-0010-0000-0400-000019000000}" name="Month 24" dataDxfId="122" totalsRowDxfId="121" dataCellStyle="Comma"/>
    <tableColumn id="26" xr3:uid="{00000000-0010-0000-0400-00001A000000}" name="Column1" dataDxfId="120" totalsRowDxfId="119" dataCellStyle="Comma"/>
    <tableColumn id="27" xr3:uid="{00000000-0010-0000-0400-00001B000000}" name="Column2" dataDxfId="118" totalsRowDxfId="117" dataCellStyle="Comma"/>
    <tableColumn id="28" xr3:uid="{00000000-0010-0000-0400-00001C000000}" name="Column3" dataDxfId="116" totalsRowDxfId="115" dataCellStyle="Comma"/>
    <tableColumn id="29" xr3:uid="{06378BAA-2530-4CC9-B9ED-C0284B60D5C3}" name="Column4" dataDxfId="114" totalsRowDxfId="113" dataCellStyle="Comma"/>
    <tableColumn id="30" xr3:uid="{45BD1AF6-467B-4A60-80DF-9E48A239C59E}" name="Column5" dataDxfId="112" totalsRowDxfId="111" dataCellStyle="Comma"/>
    <tableColumn id="31" xr3:uid="{6BB0DB1C-07DC-45F5-A202-012989B6B474}" name="Column6" dataDxfId="110" totalsRowDxfId="109" dataCellStyle="Comma"/>
    <tableColumn id="32" xr3:uid="{548344AA-5B51-4F6D-B114-1D5E9150B0E9}" name="Column7" dataDxfId="108" totalsRowDxfId="107"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FinancingPayments" displayName="FinancingPayments" ref="A68:AF71" headerRowDxfId="106" dataDxfId="105">
  <autoFilter ref="A68:AF71" xr:uid="{00000000-0009-0000-0100-00000A000000}"/>
  <tableColumns count="32">
    <tableColumn id="1" xr3:uid="{00000000-0010-0000-0500-000001000000}" name="Description" totalsRowLabel="Total Operating" dataDxfId="104" totalsRowDxfId="103"/>
    <tableColumn id="2" xr3:uid="{00000000-0010-0000-0500-000002000000}" name="Month 1" totalsRowFunction="sum" dataDxfId="102" totalsRowDxfId="101" dataCellStyle="Comma"/>
    <tableColumn id="3" xr3:uid="{00000000-0010-0000-0500-000003000000}" name="Month 2" totalsRowFunction="sum" dataDxfId="100" totalsRowDxfId="99" dataCellStyle="Comma"/>
    <tableColumn id="4" xr3:uid="{00000000-0010-0000-0500-000004000000}" name="Month 3" totalsRowFunction="sum" dataDxfId="98" totalsRowDxfId="97" dataCellStyle="Comma"/>
    <tableColumn id="5" xr3:uid="{00000000-0010-0000-0500-000005000000}" name="Month 4" totalsRowFunction="sum" dataDxfId="96" totalsRowDxfId="95" dataCellStyle="Comma"/>
    <tableColumn id="6" xr3:uid="{00000000-0010-0000-0500-000006000000}" name="Month 5" totalsRowFunction="sum" dataDxfId="94" totalsRowDxfId="93" dataCellStyle="Comma"/>
    <tableColumn id="7" xr3:uid="{00000000-0010-0000-0500-000007000000}" name="Month 6" totalsRowFunction="sum" dataDxfId="92" totalsRowDxfId="91" dataCellStyle="Comma"/>
    <tableColumn id="8" xr3:uid="{00000000-0010-0000-0500-000008000000}" name="Month 7" totalsRowFunction="sum" dataDxfId="90" totalsRowDxfId="89" dataCellStyle="Comma"/>
    <tableColumn id="9" xr3:uid="{00000000-0010-0000-0500-000009000000}" name="Month 8" totalsRowFunction="sum" dataDxfId="88" totalsRowDxfId="87" dataCellStyle="Comma"/>
    <tableColumn id="10" xr3:uid="{00000000-0010-0000-0500-00000A000000}" name="Month 9" totalsRowFunction="sum" dataDxfId="86" totalsRowDxfId="85" dataCellStyle="Comma"/>
    <tableColumn id="11" xr3:uid="{00000000-0010-0000-0500-00000B000000}" name="Month 10" totalsRowFunction="sum" dataDxfId="84" totalsRowDxfId="83" dataCellStyle="Comma"/>
    <tableColumn id="12" xr3:uid="{00000000-0010-0000-0500-00000C000000}" name="Month 11" totalsRowFunction="sum" dataDxfId="82" totalsRowDxfId="81" dataCellStyle="Comma"/>
    <tableColumn id="13" xr3:uid="{00000000-0010-0000-0500-00000D000000}" name="Month 12" totalsRowFunction="sum" dataDxfId="80" totalsRowDxfId="79" dataCellStyle="Comma"/>
    <tableColumn id="14" xr3:uid="{00000000-0010-0000-0500-00000E000000}" name="Month 13" totalsRowFunction="sum" dataDxfId="78" totalsRowDxfId="77" dataCellStyle="Comma"/>
    <tableColumn id="15" xr3:uid="{00000000-0010-0000-0500-00000F000000}" name="Month 14" totalsRowFunction="sum" dataDxfId="76" totalsRowDxfId="75" dataCellStyle="Comma"/>
    <tableColumn id="16" xr3:uid="{00000000-0010-0000-0500-000010000000}" name="Month 15" totalsRowFunction="sum" dataDxfId="74" totalsRowDxfId="73" dataCellStyle="Comma"/>
    <tableColumn id="17" xr3:uid="{00000000-0010-0000-0500-000011000000}" name="Column6" dataDxfId="72" totalsRowDxfId="71" dataCellStyle="Comma"/>
    <tableColumn id="18" xr3:uid="{00000000-0010-0000-0500-000012000000}" name="Column7" dataDxfId="70" totalsRowDxfId="69" dataCellStyle="Comma"/>
    <tableColumn id="19" xr3:uid="{00000000-0010-0000-0500-000013000000}" name="Column8" dataDxfId="68" totalsRowDxfId="67" dataCellStyle="Comma"/>
    <tableColumn id="20" xr3:uid="{00000000-0010-0000-0500-000014000000}" name="Column9" dataDxfId="66" totalsRowDxfId="65" dataCellStyle="Comma"/>
    <tableColumn id="21" xr3:uid="{00000000-0010-0000-0500-000015000000}" name="Column10" dataDxfId="64" totalsRowDxfId="63" dataCellStyle="Comma"/>
    <tableColumn id="22" xr3:uid="{00000000-0010-0000-0500-000016000000}" name="Column11" dataDxfId="62" totalsRowDxfId="61" dataCellStyle="Comma"/>
    <tableColumn id="23" xr3:uid="{00000000-0010-0000-0500-000017000000}" name="Column12" dataDxfId="60" totalsRowDxfId="59" dataCellStyle="Comma"/>
    <tableColumn id="24" xr3:uid="{00000000-0010-0000-0500-000018000000}" name="Column13" dataDxfId="58" totalsRowDxfId="57" dataCellStyle="Comma"/>
    <tableColumn id="25" xr3:uid="{00000000-0010-0000-0500-000019000000}" name="Column14" dataDxfId="56" totalsRowDxfId="55" dataCellStyle="Comma"/>
    <tableColumn id="26" xr3:uid="{00000000-0010-0000-0500-00001A000000}" name="Column1" dataDxfId="54" totalsRowDxfId="53" dataCellStyle="Comma"/>
    <tableColumn id="27" xr3:uid="{00000000-0010-0000-0500-00001B000000}" name="Column2" dataDxfId="52" totalsRowDxfId="51" dataCellStyle="Comma"/>
    <tableColumn id="28" xr3:uid="{00000000-0010-0000-0500-00001C000000}" name="Column3" dataDxfId="50" totalsRowDxfId="49" dataCellStyle="Comma"/>
    <tableColumn id="29" xr3:uid="{7BE3214C-1827-4A54-BF3C-56DE96090707}" name="Column4" dataDxfId="48" totalsRowDxfId="47" dataCellStyle="Comma"/>
    <tableColumn id="30" xr3:uid="{99C7B6E1-D241-4036-80A1-009A58305544}" name="Column5" dataDxfId="46" totalsRowDxfId="45" dataCellStyle="Comma"/>
    <tableColumn id="31" xr3:uid="{6E541B2E-394C-4845-9A94-3BC1EA5AC9E3}" name="Column52" dataDxfId="44" totalsRowDxfId="43" dataCellStyle="Comma"/>
    <tableColumn id="32" xr3:uid="{132A762F-DDFD-43AF-8FC7-278F69B7D90E}" name="Column53" dataDxfId="42" totalsRowDxfId="41"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Overdraft" displayName="Overdraft" ref="A80:AF81" totalsRowShown="0" headerRowDxfId="40" dataDxfId="39">
  <autoFilter ref="A80:AF81" xr:uid="{00000000-0009-0000-0100-000002000000}"/>
  <tableColumns count="32">
    <tableColumn id="1" xr3:uid="{00000000-0010-0000-0600-000001000000}" name="Description" dataDxfId="38"/>
    <tableColumn id="2" xr3:uid="{00000000-0010-0000-0600-000002000000}" name="Month 1" dataDxfId="37" dataCellStyle="Comma"/>
    <tableColumn id="3" xr3:uid="{00000000-0010-0000-0600-000003000000}" name="Month 2" dataDxfId="36" dataCellStyle="Comma"/>
    <tableColumn id="4" xr3:uid="{00000000-0010-0000-0600-000004000000}" name="Month 3" dataDxfId="35" dataCellStyle="Comma"/>
    <tableColumn id="5" xr3:uid="{00000000-0010-0000-0600-000005000000}" name="Month 4" dataDxfId="34" dataCellStyle="Comma"/>
    <tableColumn id="6" xr3:uid="{00000000-0010-0000-0600-000006000000}" name="Month 5" dataDxfId="33" dataCellStyle="Comma"/>
    <tableColumn id="7" xr3:uid="{00000000-0010-0000-0600-000007000000}" name="Month 6" dataDxfId="32" dataCellStyle="Comma"/>
    <tableColumn id="8" xr3:uid="{00000000-0010-0000-0600-000008000000}" name="Month 7" dataDxfId="31" dataCellStyle="Comma"/>
    <tableColumn id="9" xr3:uid="{00000000-0010-0000-0600-000009000000}" name="Month 8" dataDxfId="30" dataCellStyle="Comma"/>
    <tableColumn id="10" xr3:uid="{00000000-0010-0000-0600-00000A000000}" name="Month 9" dataDxfId="29" dataCellStyle="Comma"/>
    <tableColumn id="11" xr3:uid="{00000000-0010-0000-0600-00000B000000}" name="Month 10" dataDxfId="28" dataCellStyle="Comma"/>
    <tableColumn id="12" xr3:uid="{00000000-0010-0000-0600-00000C000000}" name="Month 11" dataDxfId="27" dataCellStyle="Comma"/>
    <tableColumn id="13" xr3:uid="{00000000-0010-0000-0600-00000D000000}" name="Month 12" dataDxfId="26" dataCellStyle="Comma"/>
    <tableColumn id="14" xr3:uid="{00000000-0010-0000-0600-00000E000000}" name="Month 13" dataDxfId="25" dataCellStyle="Comma"/>
    <tableColumn id="15" xr3:uid="{00000000-0010-0000-0600-00000F000000}" name="Month 14" dataDxfId="24" dataCellStyle="Comma"/>
    <tableColumn id="16" xr3:uid="{00000000-0010-0000-0600-000010000000}" name="Month 15" dataDxfId="23" dataCellStyle="Comma"/>
    <tableColumn id="17" xr3:uid="{00000000-0010-0000-0600-000011000000}" name="Month 16" dataDxfId="22" dataCellStyle="Comma"/>
    <tableColumn id="18" xr3:uid="{00000000-0010-0000-0600-000012000000}" name="Month 17" dataDxfId="21" dataCellStyle="Comma"/>
    <tableColumn id="19" xr3:uid="{00000000-0010-0000-0600-000013000000}" name="Month 18" dataDxfId="20" dataCellStyle="Comma"/>
    <tableColumn id="20" xr3:uid="{00000000-0010-0000-0600-000014000000}" name="Month 19" dataDxfId="19" dataCellStyle="Comma"/>
    <tableColumn id="21" xr3:uid="{00000000-0010-0000-0600-000015000000}" name="Month 20" dataDxfId="18" dataCellStyle="Comma"/>
    <tableColumn id="22" xr3:uid="{00000000-0010-0000-0600-000016000000}" name="Month 21" dataDxfId="17" dataCellStyle="Comma"/>
    <tableColumn id="23" xr3:uid="{00000000-0010-0000-0600-000017000000}" name="Month 22" dataDxfId="16" dataCellStyle="Comma"/>
    <tableColumn id="24" xr3:uid="{00000000-0010-0000-0600-000018000000}" name="Month 23" dataDxfId="15" dataCellStyle="Comma"/>
    <tableColumn id="25" xr3:uid="{00000000-0010-0000-0600-000019000000}" name="Month 24" dataDxfId="14" dataCellStyle="Comma"/>
    <tableColumn id="26" xr3:uid="{A7492905-26A9-4DE3-A3B6-05FCB8ECEBB9}" name="Column1" dataDxfId="13" dataCellStyle="Comma"/>
    <tableColumn id="27" xr3:uid="{2BFA9870-6ED6-4853-B02F-B1DC9D29176F}" name="Column2" dataDxfId="12" dataCellStyle="Comma"/>
    <tableColumn id="28" xr3:uid="{805F1B95-4234-445F-87B5-B77A31B98489}" name="Column3" dataDxfId="11" dataCellStyle="Comma"/>
    <tableColumn id="29" xr3:uid="{0BFF70A1-DF42-4946-825A-30A5D5AD546F}" name="Column4" dataDxfId="10" dataCellStyle="Comma"/>
    <tableColumn id="30" xr3:uid="{6A4B7EAB-2EA9-40B7-9D24-48BB4AF1EAEF}" name="Column5" dataDxfId="9" dataCellStyle="Comma"/>
    <tableColumn id="31" xr3:uid="{93848D39-101E-4A98-ABB9-BD591705B4F8}" name="Column6" dataDxfId="8" dataCellStyle="Comma"/>
    <tableColumn id="32" xr3:uid="{DE6A3442-FE6A-4A31-8B37-A240CBD07854}" name="Column7" dataDxfId="7" dataCellStyle="Comma"/>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3.xml"/><Relationship Id="rId11" Type="http://schemas.openxmlformats.org/officeDocument/2006/relationships/comments" Target="../comments1.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38"/>
  <sheetViews>
    <sheetView showGridLines="0" tabSelected="1" zoomScaleNormal="100" workbookViewId="0">
      <selection activeCell="B6" sqref="B6"/>
    </sheetView>
  </sheetViews>
  <sheetFormatPr defaultRowHeight="14.5" x14ac:dyDescent="0.35"/>
  <cols>
    <col min="2" max="2" width="2.54296875" customWidth="1"/>
    <col min="3" max="3" width="118.453125" customWidth="1"/>
    <col min="4" max="4" width="39.453125" customWidth="1"/>
  </cols>
  <sheetData>
    <row r="1" spans="1:6" x14ac:dyDescent="0.35">
      <c r="A1" s="2"/>
      <c r="B1" s="2"/>
    </row>
    <row r="2" spans="1:6" x14ac:dyDescent="0.35">
      <c r="C2" s="27"/>
    </row>
    <row r="6" spans="1:6" ht="18.5" x14ac:dyDescent="0.45">
      <c r="B6" s="28" t="s">
        <v>0</v>
      </c>
    </row>
    <row r="8" spans="1:6" x14ac:dyDescent="0.35">
      <c r="B8" s="2" t="s">
        <v>1</v>
      </c>
    </row>
    <row r="9" spans="1:6" x14ac:dyDescent="0.35">
      <c r="F9" s="37"/>
    </row>
    <row r="10" spans="1:6" ht="42.75" customHeight="1" x14ac:dyDescent="0.35">
      <c r="B10" s="98" t="s">
        <v>2</v>
      </c>
      <c r="C10" s="98"/>
    </row>
    <row r="12" spans="1:6" x14ac:dyDescent="0.35">
      <c r="B12" s="2" t="s">
        <v>3</v>
      </c>
    </row>
    <row r="14" spans="1:6" x14ac:dyDescent="0.35">
      <c r="B14" t="s">
        <v>4</v>
      </c>
    </row>
    <row r="15" spans="1:6" ht="42" customHeight="1" x14ac:dyDescent="0.35">
      <c r="B15" s="95" t="s">
        <v>5</v>
      </c>
    </row>
    <row r="16" spans="1:6" ht="12.4" customHeight="1" x14ac:dyDescent="0.35"/>
    <row r="17" spans="2:3" x14ac:dyDescent="0.35">
      <c r="B17" t="str" cm="1">
        <f t="array" aca="1" ref="B17" ca="1">"The forecast start date is set to "&amp;TEXT(StartDate,"DD/MM/YYYY")&amp;". You will need to enter an opening cash balance for "&amp;TEXT('Monthly cash flow'!B12,"MMMM YYYY")&amp;" in cell "&amp;RIGHT(SUBSTITUTE(CELL("address",OpeningBalance),"$",""),3)&amp;"."</f>
        <v>The forecast start date is set to 01/12/2021. You will need to enter an opening cash balance for June 2021 in cell B83.</v>
      </c>
    </row>
    <row r="18" spans="2:3" ht="27.65" customHeight="1" x14ac:dyDescent="0.35">
      <c r="B18" s="99" t="str">
        <f>"The cash balance at "&amp;TEXT(StartDate-1,"DD/MM/YYYY")&amp;" must match the college's actual cash position on that date. We ask that your Accounting Officer sign off this cash flow template on the Cover Sheet."</f>
        <v>The cash balance at 30/11/2021 must match the college's actual cash position on that date. We ask that your Accounting Officer sign off this cash flow template on the Cover Sheet.</v>
      </c>
      <c r="C18" s="99"/>
    </row>
    <row r="20" spans="2:3" x14ac:dyDescent="0.35">
      <c r="B20" t="str">
        <f>"It is mandatory to provide a forecast for current year plus one year, so to July " &amp; YEAR(StartDate) + IF(MONTH(StartDate)&gt;7,2,1) &amp; "."</f>
        <v>It is mandatory to provide a forecast for current year plus one year, so to July 2023.</v>
      </c>
    </row>
    <row r="22" spans="2:3" x14ac:dyDescent="0.35">
      <c r="B22" t="s">
        <v>6</v>
      </c>
    </row>
    <row r="24" spans="2:3" x14ac:dyDescent="0.35">
      <c r="B24" t="s">
        <v>7</v>
      </c>
    </row>
    <row r="26" spans="2:3" x14ac:dyDescent="0.35">
      <c r="B26" t="s">
        <v>8</v>
      </c>
    </row>
    <row r="28" spans="2:3" x14ac:dyDescent="0.35">
      <c r="B28" t="s">
        <v>9</v>
      </c>
    </row>
    <row r="29" spans="2:3" ht="43.5" customHeight="1" x14ac:dyDescent="0.35">
      <c r="B29" s="99" t="s">
        <v>10</v>
      </c>
      <c r="C29" s="99"/>
    </row>
    <row r="31" spans="2:3" ht="6.75" customHeight="1" x14ac:dyDescent="0.35">
      <c r="B31" s="90"/>
      <c r="C31" s="85"/>
    </row>
    <row r="32" spans="2:3" x14ac:dyDescent="0.35">
      <c r="B32" s="91"/>
      <c r="C32" s="86" t="s">
        <v>11</v>
      </c>
    </row>
    <row r="33" spans="2:3" x14ac:dyDescent="0.35">
      <c r="B33" s="91"/>
      <c r="C33" s="86"/>
    </row>
    <row r="34" spans="2:3" x14ac:dyDescent="0.35">
      <c r="B34" s="97"/>
      <c r="C34" s="96" t="s">
        <v>12</v>
      </c>
    </row>
    <row r="35" spans="2:3" x14ac:dyDescent="0.35">
      <c r="B35" s="97"/>
      <c r="C35" s="96"/>
    </row>
    <row r="36" spans="2:3" x14ac:dyDescent="0.35">
      <c r="B36" s="92"/>
      <c r="C36" s="87"/>
    </row>
    <row r="37" spans="2:3" x14ac:dyDescent="0.35">
      <c r="B37" s="93"/>
      <c r="C37" s="88" t="s">
        <v>629</v>
      </c>
    </row>
    <row r="38" spans="2:3" ht="15.5" x14ac:dyDescent="0.35">
      <c r="B38" s="94"/>
      <c r="C38" s="89"/>
    </row>
  </sheetData>
  <sheetProtection algorithmName="SHA-512" hashValue="qOgUMOM4OCH3bS3Etxl3Eo2+0tck+fe5iO+CcIB1Ur9ic9Euj/59U+yZuBDZ9p9dZxkCWiCPNdbZ3lhcp96Kxw==" saltValue="kPTK01W0iUJCF9xf0Lr7Pw==" spinCount="100000" sheet="1" objects="1" scenarios="1" selectLockedCells="1" selectUnlockedCells="1"/>
  <mergeCells count="5">
    <mergeCell ref="C34:C35"/>
    <mergeCell ref="B34:B35"/>
    <mergeCell ref="B10:C10"/>
    <mergeCell ref="B18:C18"/>
    <mergeCell ref="B29:C29"/>
  </mergeCells>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021D0-0E24-4C7A-880C-E6C72411F488}">
  <sheetPr>
    <pageSetUpPr fitToPage="1"/>
  </sheetPr>
  <dimension ref="B1:L65"/>
  <sheetViews>
    <sheetView showGridLines="0" zoomScaleNormal="100" workbookViewId="0">
      <pane xSplit="1" ySplit="10" topLeftCell="B11" activePane="bottomRight" state="frozen"/>
      <selection pane="topRight" activeCell="B1" sqref="B1"/>
      <selection pane="bottomLeft" activeCell="A11" sqref="A11"/>
      <selection pane="bottomRight" activeCell="D12" sqref="D12:I12"/>
    </sheetView>
  </sheetViews>
  <sheetFormatPr defaultColWidth="9" defaultRowHeight="13" x14ac:dyDescent="0.3"/>
  <cols>
    <col min="1" max="1" width="3" style="40" customWidth="1"/>
    <col min="2" max="2" width="4.1796875" style="40" customWidth="1"/>
    <col min="3" max="3" width="20" style="40" customWidth="1"/>
    <col min="4" max="4" width="26.81640625" style="40" customWidth="1"/>
    <col min="5" max="5" width="9" style="40" customWidth="1"/>
    <col min="6" max="6" width="9" style="40"/>
    <col min="7" max="7" width="7.54296875" style="40" customWidth="1"/>
    <col min="8" max="8" width="17.26953125" style="40" customWidth="1"/>
    <col min="9" max="9" width="26.81640625" style="40" customWidth="1"/>
    <col min="10" max="10" width="3.54296875" style="40" customWidth="1"/>
    <col min="11" max="16384" width="9" style="40"/>
  </cols>
  <sheetData>
    <row r="1" spans="2:10" x14ac:dyDescent="0.3">
      <c r="B1" s="39"/>
    </row>
    <row r="3" spans="2:10" ht="14.5" x14ac:dyDescent="0.35">
      <c r="I3" s="41" t="s">
        <v>13</v>
      </c>
      <c r="J3" s="42">
        <v>1.7</v>
      </c>
    </row>
    <row r="4" spans="2:10" x14ac:dyDescent="0.3">
      <c r="B4" s="43"/>
      <c r="C4" s="44"/>
      <c r="D4" s="45"/>
    </row>
    <row r="5" spans="2:10" x14ac:dyDescent="0.3">
      <c r="B5" s="100"/>
      <c r="C5" s="100"/>
      <c r="D5" s="46"/>
      <c r="E5" s="47"/>
    </row>
    <row r="6" spans="2:10" x14ac:dyDescent="0.3">
      <c r="B6" s="48"/>
      <c r="C6" s="49"/>
      <c r="D6" s="50"/>
      <c r="E6" s="50"/>
    </row>
    <row r="7" spans="2:10" x14ac:dyDescent="0.3">
      <c r="B7" s="48"/>
      <c r="C7" s="49"/>
      <c r="D7" s="51"/>
      <c r="E7" s="51"/>
    </row>
    <row r="8" spans="2:10" x14ac:dyDescent="0.3">
      <c r="B8" s="48"/>
      <c r="C8" s="49"/>
      <c r="D8" s="51"/>
      <c r="E8" s="51"/>
    </row>
    <row r="9" spans="2:10" x14ac:dyDescent="0.3">
      <c r="B9" s="48"/>
      <c r="C9" s="49"/>
      <c r="D9" s="51"/>
      <c r="E9" s="51"/>
    </row>
    <row r="10" spans="2:10" x14ac:dyDescent="0.3">
      <c r="B10" s="45"/>
      <c r="C10" s="52" t="s">
        <v>14</v>
      </c>
      <c r="D10" s="45"/>
    </row>
    <row r="11" spans="2:10" x14ac:dyDescent="0.3">
      <c r="B11" s="45"/>
      <c r="C11" s="44"/>
      <c r="D11" s="45"/>
    </row>
    <row r="12" spans="2:10" x14ac:dyDescent="0.3">
      <c r="B12" s="53" t="s">
        <v>15</v>
      </c>
      <c r="C12" s="54"/>
      <c r="D12" s="101" t="s">
        <v>16</v>
      </c>
      <c r="E12" s="102"/>
      <c r="F12" s="102"/>
      <c r="G12" s="102"/>
      <c r="H12" s="102"/>
      <c r="I12" s="103"/>
    </row>
    <row r="13" spans="2:10" x14ac:dyDescent="0.3">
      <c r="B13" s="55"/>
      <c r="C13" s="54"/>
      <c r="D13" s="54"/>
      <c r="E13" s="54"/>
      <c r="F13" s="54"/>
      <c r="G13" s="54"/>
      <c r="H13" s="54"/>
      <c r="I13" s="54"/>
    </row>
    <row r="14" spans="2:10" x14ac:dyDescent="0.3">
      <c r="B14" s="55">
        <v>1</v>
      </c>
      <c r="C14" s="54" t="s">
        <v>17</v>
      </c>
      <c r="D14" s="56" t="str">
        <f>VLOOKUP($D$12, 'List of colleges'!$A$1:$E$243,B14+1,)</f>
        <v>SELECT COLLEGE</v>
      </c>
      <c r="E14" s="54"/>
      <c r="F14" s="54"/>
      <c r="G14" s="57">
        <v>2</v>
      </c>
      <c r="H14" s="54" t="s">
        <v>18</v>
      </c>
      <c r="I14" s="56" t="str">
        <f>VLOOKUP($D$12, 'List of colleges'!$A$1:$E$243,G14+1,)</f>
        <v>SELECT COLLEGE</v>
      </c>
    </row>
    <row r="15" spans="2:10" x14ac:dyDescent="0.3">
      <c r="B15" s="55"/>
      <c r="C15" s="54"/>
      <c r="D15" s="54"/>
      <c r="E15" s="54"/>
      <c r="F15" s="54"/>
      <c r="G15" s="58"/>
      <c r="H15" s="54"/>
      <c r="I15" s="54"/>
    </row>
    <row r="16" spans="2:10" x14ac:dyDescent="0.3">
      <c r="B16" s="55">
        <v>3</v>
      </c>
      <c r="C16" s="54" t="s">
        <v>19</v>
      </c>
      <c r="D16" s="56" t="str">
        <f>VLOOKUP($D$12, 'List of colleges'!$A$1:$E$243,B16+1,)</f>
        <v>SELECT COLLEGE</v>
      </c>
      <c r="E16" s="54"/>
      <c r="F16" s="54"/>
      <c r="G16" s="57">
        <v>4</v>
      </c>
      <c r="H16" s="54" t="s">
        <v>20</v>
      </c>
      <c r="I16" s="56" t="str">
        <f>VLOOKUP($D$12, 'List of colleges'!$A$1:$E$243,G16+1,)</f>
        <v>SELECT COLLEGE</v>
      </c>
    </row>
    <row r="17" spans="2:12" x14ac:dyDescent="0.3">
      <c r="B17" s="55"/>
      <c r="C17" s="54"/>
    </row>
    <row r="18" spans="2:12" ht="14.5" x14ac:dyDescent="0.35">
      <c r="B18" s="59"/>
      <c r="C18"/>
      <c r="D18"/>
      <c r="E18"/>
      <c r="F18"/>
      <c r="G18"/>
      <c r="H18"/>
      <c r="I18"/>
    </row>
    <row r="19" spans="2:12" ht="25.9" customHeight="1" x14ac:dyDescent="0.35">
      <c r="B19" s="59">
        <v>3</v>
      </c>
      <c r="C19" s="108" t="s">
        <v>21</v>
      </c>
      <c r="D19" s="105"/>
      <c r="E19" s="105"/>
      <c r="F19" s="105"/>
      <c r="G19" s="105"/>
      <c r="H19" s="106"/>
      <c r="I19" s="61" t="s">
        <v>22</v>
      </c>
      <c r="L19"/>
    </row>
    <row r="20" spans="2:12" ht="12.75" customHeight="1" x14ac:dyDescent="0.35">
      <c r="B20" s="59"/>
      <c r="C20"/>
      <c r="D20"/>
      <c r="E20"/>
      <c r="F20"/>
      <c r="G20"/>
      <c r="H20"/>
      <c r="I20"/>
    </row>
    <row r="21" spans="2:12" ht="27" customHeight="1" x14ac:dyDescent="0.3">
      <c r="B21" s="59">
        <v>4</v>
      </c>
      <c r="C21" s="104" t="s">
        <v>23</v>
      </c>
      <c r="D21" s="105"/>
      <c r="E21" s="105"/>
      <c r="F21" s="105"/>
      <c r="G21" s="105"/>
      <c r="H21" s="106"/>
      <c r="I21" s="61" t="s">
        <v>22</v>
      </c>
    </row>
    <row r="22" spans="2:12" ht="12.75" customHeight="1" x14ac:dyDescent="0.35">
      <c r="B22" s="59"/>
      <c r="C22"/>
      <c r="D22"/>
      <c r="E22"/>
      <c r="F22"/>
      <c r="G22"/>
      <c r="H22"/>
      <c r="I22"/>
    </row>
    <row r="23" spans="2:12" ht="29.65" customHeight="1" x14ac:dyDescent="0.3">
      <c r="B23" s="59">
        <v>5</v>
      </c>
      <c r="C23" s="107" t="str">
        <f>"I confirm that the cash balance in this cash flow template at "&amp;TEXT(StartDate-1,"DD/MM/YYYY")&amp;" matches the college's actual cash position on the ledger at that date."</f>
        <v>I confirm that the cash balance in this cash flow template at 30/11/2021 matches the college's actual cash position on the ledger at that date.</v>
      </c>
      <c r="D23" s="107"/>
      <c r="E23" s="107"/>
      <c r="F23" s="107"/>
      <c r="G23" s="107"/>
      <c r="H23" s="107"/>
      <c r="I23" s="62" t="s">
        <v>22</v>
      </c>
    </row>
    <row r="24" spans="2:12" ht="12.75" customHeight="1" x14ac:dyDescent="0.35">
      <c r="B24" s="59"/>
      <c r="C24"/>
      <c r="D24"/>
      <c r="E24"/>
      <c r="F24"/>
      <c r="G24"/>
      <c r="H24"/>
      <c r="I24"/>
    </row>
    <row r="25" spans="2:12" ht="12.75" customHeight="1" x14ac:dyDescent="0.35">
      <c r="B25" s="59"/>
      <c r="C25"/>
      <c r="D25"/>
      <c r="E25"/>
      <c r="F25"/>
      <c r="G25"/>
      <c r="H25"/>
      <c r="I25"/>
    </row>
    <row r="26" spans="2:12" ht="12.75" customHeight="1" x14ac:dyDescent="0.35">
      <c r="B26" s="59"/>
      <c r="C26"/>
      <c r="D26"/>
      <c r="E26"/>
      <c r="F26"/>
      <c r="G26"/>
      <c r="H26"/>
      <c r="I26"/>
    </row>
    <row r="27" spans="2:12" ht="12.75" customHeight="1" x14ac:dyDescent="0.35">
      <c r="B27" s="63" t="s">
        <v>24</v>
      </c>
      <c r="C27"/>
      <c r="D27"/>
      <c r="E27"/>
      <c r="F27"/>
      <c r="G27"/>
      <c r="H27"/>
      <c r="I27"/>
    </row>
    <row r="28" spans="2:12" ht="24.75" customHeight="1" x14ac:dyDescent="0.3">
      <c r="B28" s="59">
        <v>7</v>
      </c>
      <c r="C28" s="104" t="s">
        <v>25</v>
      </c>
      <c r="D28" s="105"/>
      <c r="E28" s="105"/>
      <c r="F28" s="105"/>
      <c r="G28" s="105"/>
      <c r="H28" s="106"/>
      <c r="I28" s="61" t="s">
        <v>22</v>
      </c>
    </row>
    <row r="29" spans="2:12" ht="12.75" customHeight="1" x14ac:dyDescent="0.35">
      <c r="B29" s="59"/>
      <c r="C29"/>
      <c r="D29"/>
      <c r="E29"/>
      <c r="F29"/>
      <c r="G29"/>
      <c r="H29"/>
      <c r="I29"/>
    </row>
    <row r="30" spans="2:12" ht="13.15" customHeight="1" x14ac:dyDescent="0.3">
      <c r="B30" s="59">
        <v>8</v>
      </c>
      <c r="C30" s="64" t="s">
        <v>26</v>
      </c>
      <c r="D30" s="109"/>
      <c r="E30" s="112"/>
      <c r="F30" s="118" t="s">
        <v>27</v>
      </c>
      <c r="G30" s="118"/>
      <c r="H30" s="119"/>
      <c r="I30" s="119"/>
    </row>
    <row r="31" spans="2:12" ht="12.75" customHeight="1" x14ac:dyDescent="0.35">
      <c r="B31" s="59"/>
      <c r="C31"/>
      <c r="D31"/>
      <c r="E31"/>
      <c r="F31"/>
      <c r="G31"/>
      <c r="H31"/>
      <c r="I31"/>
    </row>
    <row r="32" spans="2:12" ht="12.75" customHeight="1" x14ac:dyDescent="0.3">
      <c r="B32" s="59">
        <v>9</v>
      </c>
      <c r="C32" s="64" t="s">
        <v>28</v>
      </c>
      <c r="D32" s="109"/>
      <c r="E32" s="110"/>
      <c r="F32" s="111"/>
      <c r="G32" s="111"/>
      <c r="H32" s="110"/>
      <c r="I32" s="112"/>
    </row>
    <row r="33" spans="2:9" ht="12.75" customHeight="1" x14ac:dyDescent="0.3">
      <c r="B33" s="59"/>
      <c r="C33" s="64" t="s">
        <v>29</v>
      </c>
      <c r="D33" s="113"/>
      <c r="E33" s="114"/>
      <c r="F33" s="115" t="s">
        <v>30</v>
      </c>
      <c r="G33" s="115"/>
      <c r="H33" s="116"/>
      <c r="I33" s="117"/>
    </row>
    <row r="34" spans="2:9" x14ac:dyDescent="0.3">
      <c r="B34" s="65"/>
      <c r="D34" s="66"/>
      <c r="E34" s="45"/>
      <c r="F34" s="48"/>
    </row>
    <row r="35" spans="2:9" x14ac:dyDescent="0.3">
      <c r="B35" s="65"/>
      <c r="D35" s="66"/>
      <c r="E35" s="45"/>
      <c r="F35" s="48"/>
    </row>
    <row r="36" spans="2:9" x14ac:dyDescent="0.3">
      <c r="B36" s="65"/>
      <c r="D36" s="66"/>
      <c r="E36" s="45"/>
      <c r="F36" s="48"/>
    </row>
    <row r="37" spans="2:9" x14ac:dyDescent="0.3">
      <c r="B37" s="65"/>
      <c r="D37" s="66"/>
      <c r="E37" s="45"/>
      <c r="F37" s="48"/>
    </row>
    <row r="38" spans="2:9" x14ac:dyDescent="0.3">
      <c r="B38" s="65"/>
      <c r="D38" s="66"/>
      <c r="E38" s="45"/>
      <c r="F38" s="48"/>
    </row>
    <row r="39" spans="2:9" x14ac:dyDescent="0.3">
      <c r="B39" s="65"/>
      <c r="D39" s="66"/>
      <c r="E39" s="45"/>
      <c r="F39" s="48"/>
    </row>
    <row r="40" spans="2:9" x14ac:dyDescent="0.3">
      <c r="D40" s="66"/>
      <c r="E40" s="45"/>
      <c r="F40" s="48"/>
    </row>
    <row r="42" spans="2:9" hidden="1" x14ac:dyDescent="0.3">
      <c r="D42" s="43"/>
      <c r="E42" s="43"/>
      <c r="F42" s="67"/>
      <c r="I42" s="40" t="s">
        <v>22</v>
      </c>
    </row>
    <row r="43" spans="2:9" hidden="1" x14ac:dyDescent="0.3">
      <c r="D43" s="68"/>
      <c r="E43" s="45"/>
      <c r="F43" s="48"/>
      <c r="I43" s="40" t="s">
        <v>31</v>
      </c>
    </row>
    <row r="44" spans="2:9" hidden="1" x14ac:dyDescent="0.3">
      <c r="D44" s="68"/>
      <c r="E44" s="45"/>
      <c r="F44" s="48"/>
      <c r="I44" s="40" t="s">
        <v>32</v>
      </c>
    </row>
    <row r="45" spans="2:9" x14ac:dyDescent="0.3">
      <c r="D45" s="68"/>
      <c r="E45" s="45"/>
      <c r="F45" s="48"/>
    </row>
    <row r="46" spans="2:9" x14ac:dyDescent="0.3">
      <c r="D46" s="68"/>
      <c r="E46" s="45"/>
      <c r="F46" s="48"/>
    </row>
    <row r="47" spans="2:9" x14ac:dyDescent="0.3">
      <c r="D47" s="68"/>
      <c r="E47" s="45"/>
      <c r="F47" s="48"/>
    </row>
    <row r="48" spans="2:9" x14ac:dyDescent="0.3">
      <c r="D48" s="68"/>
      <c r="E48" s="45"/>
      <c r="F48" s="48"/>
    </row>
    <row r="49" spans="4:6" x14ac:dyDescent="0.3">
      <c r="D49" s="68"/>
      <c r="E49" s="45"/>
      <c r="F49" s="48"/>
    </row>
    <row r="50" spans="4:6" x14ac:dyDescent="0.3">
      <c r="D50" s="68"/>
      <c r="E50" s="45"/>
      <c r="F50" s="48"/>
    </row>
    <row r="51" spans="4:6" x14ac:dyDescent="0.3">
      <c r="D51" s="68"/>
      <c r="E51" s="45"/>
      <c r="F51" s="48"/>
    </row>
    <row r="52" spans="4:6" x14ac:dyDescent="0.3">
      <c r="D52" s="68"/>
      <c r="E52" s="45"/>
      <c r="F52" s="48"/>
    </row>
    <row r="53" spans="4:6" x14ac:dyDescent="0.3">
      <c r="D53" s="45"/>
      <c r="E53" s="45"/>
      <c r="F53" s="45"/>
    </row>
    <row r="54" spans="4:6" x14ac:dyDescent="0.3">
      <c r="D54" s="43"/>
      <c r="E54" s="43"/>
      <c r="F54" s="67"/>
    </row>
    <row r="55" spans="4:6" x14ac:dyDescent="0.3">
      <c r="D55" s="68"/>
      <c r="E55" s="45"/>
      <c r="F55" s="48"/>
    </row>
    <row r="56" spans="4:6" x14ac:dyDescent="0.3">
      <c r="D56" s="68"/>
      <c r="E56" s="45"/>
      <c r="F56" s="48"/>
    </row>
    <row r="57" spans="4:6" x14ac:dyDescent="0.3">
      <c r="D57" s="68"/>
      <c r="E57" s="45"/>
      <c r="F57" s="48"/>
    </row>
    <row r="58" spans="4:6" x14ac:dyDescent="0.3">
      <c r="D58" s="68"/>
      <c r="E58" s="45"/>
      <c r="F58" s="48"/>
    </row>
    <row r="59" spans="4:6" x14ac:dyDescent="0.3">
      <c r="D59" s="68"/>
      <c r="E59" s="45"/>
      <c r="F59" s="48"/>
    </row>
    <row r="60" spans="4:6" x14ac:dyDescent="0.3">
      <c r="D60" s="68"/>
      <c r="E60" s="45"/>
      <c r="F60" s="48"/>
    </row>
    <row r="61" spans="4:6" x14ac:dyDescent="0.3">
      <c r="D61" s="68"/>
      <c r="E61" s="45"/>
      <c r="F61" s="48"/>
    </row>
    <row r="62" spans="4:6" x14ac:dyDescent="0.3">
      <c r="D62" s="68"/>
      <c r="E62" s="45"/>
      <c r="F62" s="48"/>
    </row>
    <row r="63" spans="4:6" x14ac:dyDescent="0.3">
      <c r="D63" s="68"/>
      <c r="E63" s="45"/>
      <c r="F63" s="48"/>
    </row>
    <row r="64" spans="4:6" x14ac:dyDescent="0.3">
      <c r="D64" s="68"/>
      <c r="E64" s="45"/>
      <c r="F64" s="48"/>
    </row>
    <row r="65" spans="4:6" x14ac:dyDescent="0.3">
      <c r="D65" s="68"/>
      <c r="E65" s="45"/>
      <c r="F65" s="48"/>
    </row>
  </sheetData>
  <sheetProtection algorithmName="SHA-512" hashValue="QfknC8NqIRxLspax0EmStl9U8x7SmG766pkCIZA2eOEyOcAw0+rQJMISAX53qonm5xWoug8EbLSlqemN812jMA==" saltValue="B3jKYn3NL1+JE+nDtV30WA==" spinCount="100000" sheet="1" objects="1" scenarios="1" selectLockedCells="1"/>
  <mergeCells count="13">
    <mergeCell ref="D32:I32"/>
    <mergeCell ref="D33:E33"/>
    <mergeCell ref="F33:G33"/>
    <mergeCell ref="H33:I33"/>
    <mergeCell ref="C28:H28"/>
    <mergeCell ref="D30:E30"/>
    <mergeCell ref="F30:G30"/>
    <mergeCell ref="H30:I30"/>
    <mergeCell ref="B5:C5"/>
    <mergeCell ref="D12:I12"/>
    <mergeCell ref="C21:H21"/>
    <mergeCell ref="C23:H23"/>
    <mergeCell ref="C19:H19"/>
  </mergeCells>
  <dataValidations count="1">
    <dataValidation type="list" allowBlank="1" showInputMessage="1" showErrorMessage="1" sqref="I28 I21 I23 I19" xr:uid="{B96D692B-8101-485E-93DE-C951C1C8C80F}">
      <formula1>$I$42:$I$44</formula1>
    </dataValidation>
  </dataValidations>
  <pageMargins left="0.70866141732283472" right="0.70866141732283472" top="0.74803149606299213" bottom="0.74803149606299213" header="0.31496062992125984" footer="0.31496062992125984"/>
  <pageSetup paperSize="9" scale="6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FEE3894-4E2B-4338-BDD5-C89223201929}">
          <x14:formula1>
            <xm:f>'List of colleges'!$A$2:$A$243</xm:f>
          </x14:formula1>
          <xm:sqref>D12:I12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F96"/>
  <sheetViews>
    <sheetView showGridLines="0" zoomScale="70" zoomScaleNormal="70" workbookViewId="0">
      <pane xSplit="1" ySplit="14" topLeftCell="B15" activePane="bottomRight" state="frozen"/>
      <selection pane="topRight" activeCell="B1" sqref="B1"/>
      <selection pane="bottomLeft" activeCell="A15" sqref="A15"/>
      <selection pane="bottomRight" activeCell="B83" sqref="B83"/>
    </sheetView>
  </sheetViews>
  <sheetFormatPr defaultColWidth="9.1796875" defaultRowHeight="14.5" x14ac:dyDescent="0.35"/>
  <cols>
    <col min="1" max="1" width="45.7265625" customWidth="1"/>
    <col min="2" max="32" width="11.453125" customWidth="1"/>
  </cols>
  <sheetData>
    <row r="1" spans="1:32" ht="18.5" x14ac:dyDescent="0.45">
      <c r="A1" s="13" t="s">
        <v>33</v>
      </c>
      <c r="B1" s="10"/>
      <c r="C1" s="10"/>
      <c r="D1" s="10"/>
      <c r="E1" s="10"/>
      <c r="F1" s="10"/>
      <c r="G1" s="10"/>
      <c r="H1" s="10"/>
      <c r="I1" s="10"/>
      <c r="J1" s="1"/>
      <c r="K1" s="1"/>
      <c r="L1" s="1"/>
      <c r="M1" s="1"/>
      <c r="N1" s="1"/>
      <c r="O1" s="1"/>
      <c r="P1" s="1"/>
    </row>
    <row r="2" spans="1:32" ht="9.75" customHeight="1" x14ac:dyDescent="0.35">
      <c r="A2" s="11"/>
      <c r="B2" s="1"/>
      <c r="C2" s="10"/>
      <c r="D2" s="10"/>
      <c r="E2" s="10"/>
      <c r="F2" s="10"/>
      <c r="G2" s="10"/>
      <c r="H2" s="10"/>
      <c r="I2" s="10"/>
      <c r="J2" s="1"/>
      <c r="K2" s="1"/>
      <c r="L2" s="1"/>
      <c r="M2" s="1"/>
      <c r="N2" s="1"/>
      <c r="O2" s="1"/>
      <c r="P2" s="1"/>
      <c r="R2" s="25"/>
    </row>
    <row r="3" spans="1:32" x14ac:dyDescent="0.35">
      <c r="A3" s="12" t="s">
        <v>34</v>
      </c>
      <c r="B3" s="1"/>
      <c r="C3" s="1"/>
      <c r="D3" s="1"/>
      <c r="E3" s="1"/>
      <c r="F3" s="1"/>
      <c r="G3" s="1"/>
      <c r="H3" s="1"/>
      <c r="I3" s="1"/>
      <c r="J3" s="1"/>
      <c r="K3" s="1"/>
      <c r="L3" s="1"/>
      <c r="M3" s="1"/>
      <c r="N3" s="1"/>
      <c r="O3" s="1"/>
      <c r="P3" s="1"/>
    </row>
    <row r="4" spans="1:32" x14ac:dyDescent="0.35">
      <c r="A4" s="74" t="str">
        <f>IF('Cover Sheet'!I16="SELECT COLLEGE", "SELECT COLLEGE ON COVER SHEET", 'Cover Sheet'!I16)</f>
        <v>SELECT COLLEGE ON COVER SHEET</v>
      </c>
      <c r="B4" s="1"/>
      <c r="D4" s="1"/>
      <c r="E4" s="1"/>
      <c r="F4" s="1"/>
      <c r="G4" s="1"/>
      <c r="H4" s="1"/>
      <c r="I4" s="1"/>
      <c r="J4" s="1"/>
      <c r="K4" s="1"/>
      <c r="L4" s="1"/>
      <c r="M4" s="1"/>
      <c r="N4" s="1"/>
      <c r="O4" s="1"/>
      <c r="P4" s="1"/>
    </row>
    <row r="5" spans="1:32" x14ac:dyDescent="0.35">
      <c r="A5" s="12" t="s">
        <v>35</v>
      </c>
      <c r="B5" s="1"/>
      <c r="D5" s="1"/>
      <c r="E5" s="1"/>
      <c r="F5" s="1"/>
      <c r="G5" s="1"/>
      <c r="H5" s="1"/>
      <c r="I5" s="1"/>
      <c r="J5" s="1"/>
      <c r="K5" s="1"/>
      <c r="L5" s="1"/>
      <c r="M5" s="1"/>
      <c r="N5" s="1"/>
      <c r="O5" s="1"/>
      <c r="P5" s="1"/>
    </row>
    <row r="6" spans="1:32" x14ac:dyDescent="0.35">
      <c r="A6" s="74" t="str">
        <f>IF('Cover Sheet'!I16="SELECT COLLEGE", "SELECT COLLEGE ON COVER SHEET", 'Cover Sheet'!D12)</f>
        <v>SELECT COLLEGE ON COVER SHEET</v>
      </c>
      <c r="B6" s="1"/>
      <c r="D6" s="1"/>
      <c r="E6" s="1"/>
      <c r="F6" s="1"/>
      <c r="G6" s="1"/>
      <c r="H6" s="1"/>
      <c r="I6" s="1"/>
      <c r="J6" s="1"/>
      <c r="K6" s="1"/>
      <c r="L6" s="1"/>
      <c r="M6" s="1"/>
      <c r="N6" s="1"/>
      <c r="O6" s="1"/>
      <c r="P6" s="1"/>
    </row>
    <row r="7" spans="1:32" ht="13.5" customHeight="1" x14ac:dyDescent="0.35">
      <c r="A7" s="12" t="s">
        <v>36</v>
      </c>
      <c r="B7" s="1"/>
      <c r="C7" s="1"/>
      <c r="D7" s="1"/>
      <c r="E7" s="1"/>
      <c r="F7" s="1"/>
      <c r="G7" s="1"/>
      <c r="H7" s="1"/>
      <c r="I7" s="1"/>
      <c r="J7" s="1"/>
      <c r="K7" s="1"/>
      <c r="L7" s="1"/>
      <c r="M7" s="1"/>
      <c r="N7" s="1"/>
      <c r="O7" s="1"/>
      <c r="P7" s="1"/>
      <c r="Q7" s="31"/>
    </row>
    <row r="8" spans="1:32" ht="13.5" customHeight="1" x14ac:dyDescent="0.35">
      <c r="A8" s="38">
        <v>44531</v>
      </c>
      <c r="B8" s="1"/>
      <c r="C8" s="120" t="str">
        <f>IF(ISBLANK(B83),"Please set an opening balance for the first month","")</f>
        <v>Please set an opening balance for the first month</v>
      </c>
      <c r="D8" s="120"/>
      <c r="E8" s="120"/>
      <c r="F8" s="120"/>
      <c r="G8" s="120"/>
      <c r="H8" s="120"/>
      <c r="I8" s="120"/>
      <c r="J8" s="120"/>
      <c r="K8" s="120"/>
      <c r="L8" s="1"/>
      <c r="M8" s="1"/>
      <c r="N8" s="1"/>
      <c r="O8" s="1"/>
      <c r="P8" s="1"/>
      <c r="Q8" s="34"/>
    </row>
    <row r="9" spans="1:32" ht="13.5" customHeight="1" x14ac:dyDescent="0.35">
      <c r="A9" s="25"/>
      <c r="B9" s="1"/>
      <c r="C9" s="120"/>
      <c r="D9" s="120"/>
      <c r="E9" s="120"/>
      <c r="F9" s="120"/>
      <c r="G9" s="120"/>
      <c r="H9" s="120"/>
      <c r="I9" s="120"/>
      <c r="J9" s="120"/>
      <c r="K9" s="120"/>
      <c r="L9" s="1"/>
      <c r="M9" s="1"/>
      <c r="N9" s="1"/>
      <c r="O9" s="1"/>
      <c r="P9" s="1"/>
    </row>
    <row r="10" spans="1:32" x14ac:dyDescent="0.35">
      <c r="B10" s="1"/>
      <c r="C10" s="121"/>
      <c r="D10" s="121"/>
      <c r="E10" s="121"/>
      <c r="F10" s="121"/>
      <c r="G10" s="121"/>
      <c r="H10" s="121"/>
      <c r="I10" s="121"/>
      <c r="J10" s="121"/>
      <c r="K10" s="121"/>
      <c r="L10" s="1"/>
      <c r="M10" s="1"/>
      <c r="N10" s="1"/>
      <c r="O10" s="1"/>
      <c r="P10" s="1"/>
      <c r="Q10" s="36"/>
      <c r="R10" s="36"/>
      <c r="S10" s="36"/>
      <c r="T10" s="36"/>
      <c r="U10" s="36"/>
      <c r="V10" s="36"/>
      <c r="W10" s="36"/>
      <c r="X10" s="36"/>
      <c r="Y10" s="36"/>
      <c r="Z10" s="36"/>
      <c r="AA10" s="36"/>
      <c r="AB10" s="36" t="s">
        <v>37</v>
      </c>
      <c r="AC10" s="36" t="s">
        <v>37</v>
      </c>
      <c r="AD10" s="36" t="s">
        <v>37</v>
      </c>
      <c r="AE10" s="36" t="s">
        <v>37</v>
      </c>
      <c r="AF10" s="36" t="s">
        <v>37</v>
      </c>
    </row>
    <row r="11" spans="1:32" ht="16.5" x14ac:dyDescent="0.35">
      <c r="A11" s="15" t="s">
        <v>38</v>
      </c>
      <c r="B11" s="16" t="str">
        <f>TEXT(EDATE(B12,5),"YYYY")</f>
        <v>2021</v>
      </c>
      <c r="C11" s="16" t="str">
        <f t="shared" ref="C11:AF11" si="0">TEXT(EDATE(C12,5),"YYYY")</f>
        <v>2021</v>
      </c>
      <c r="D11" s="16" t="str">
        <f t="shared" si="0"/>
        <v>2022</v>
      </c>
      <c r="E11" s="16" t="str">
        <f t="shared" si="0"/>
        <v>2022</v>
      </c>
      <c r="F11" s="16" t="str">
        <f t="shared" si="0"/>
        <v>2022</v>
      </c>
      <c r="G11" s="16" t="str">
        <f t="shared" si="0"/>
        <v>2022</v>
      </c>
      <c r="H11" s="16" t="str">
        <f t="shared" si="0"/>
        <v>2022</v>
      </c>
      <c r="I11" s="16" t="str">
        <f t="shared" si="0"/>
        <v>2022</v>
      </c>
      <c r="J11" s="16" t="str">
        <f t="shared" si="0"/>
        <v>2022</v>
      </c>
      <c r="K11" s="16" t="str">
        <f t="shared" si="0"/>
        <v>2022</v>
      </c>
      <c r="L11" s="16" t="str">
        <f t="shared" si="0"/>
        <v>2022</v>
      </c>
      <c r="M11" s="16" t="str">
        <f t="shared" si="0"/>
        <v>2022</v>
      </c>
      <c r="N11" s="16" t="str">
        <f t="shared" si="0"/>
        <v>2022</v>
      </c>
      <c r="O11" s="16" t="str">
        <f t="shared" si="0"/>
        <v>2022</v>
      </c>
      <c r="P11" s="16" t="str">
        <f t="shared" si="0"/>
        <v>2023</v>
      </c>
      <c r="Q11" s="16" t="str">
        <f t="shared" si="0"/>
        <v>2023</v>
      </c>
      <c r="R11" s="16" t="str">
        <f t="shared" si="0"/>
        <v>2023</v>
      </c>
      <c r="S11" s="16" t="str">
        <f t="shared" si="0"/>
        <v>2023</v>
      </c>
      <c r="T11" s="16" t="str">
        <f t="shared" si="0"/>
        <v>2023</v>
      </c>
      <c r="U11" s="16" t="str">
        <f t="shared" si="0"/>
        <v>2023</v>
      </c>
      <c r="V11" s="16" t="str">
        <f t="shared" si="0"/>
        <v>2023</v>
      </c>
      <c r="W11" s="16" t="str">
        <f t="shared" si="0"/>
        <v>2023</v>
      </c>
      <c r="X11" s="16" t="str">
        <f t="shared" si="0"/>
        <v>2023</v>
      </c>
      <c r="Y11" s="16" t="str">
        <f t="shared" si="0"/>
        <v>2023</v>
      </c>
      <c r="Z11" s="16" t="str">
        <f t="shared" si="0"/>
        <v>2023</v>
      </c>
      <c r="AA11" s="16" t="str">
        <f t="shared" si="0"/>
        <v>2023</v>
      </c>
      <c r="AB11" s="16" t="str">
        <f t="shared" si="0"/>
        <v>2024</v>
      </c>
      <c r="AC11" s="16" t="str">
        <f t="shared" si="0"/>
        <v>2024</v>
      </c>
      <c r="AD11" s="16" t="str">
        <f t="shared" si="0"/>
        <v>2024</v>
      </c>
      <c r="AE11" s="16" t="str">
        <f t="shared" si="0"/>
        <v>2024</v>
      </c>
      <c r="AF11" s="16" t="str">
        <f t="shared" si="0"/>
        <v>2024</v>
      </c>
    </row>
    <row r="12" spans="1:32" x14ac:dyDescent="0.35">
      <c r="A12" s="15" t="s">
        <v>39</v>
      </c>
      <c r="B12" s="33">
        <f>DATE(YEAR(EDATE($A$8,COLUMN()-7)),MONTH(EDATE($A$8,COLUMN()-7)),1)-1</f>
        <v>44377</v>
      </c>
      <c r="C12" s="33">
        <f t="shared" ref="C12:AF12" si="1">DATE(YEAR(EDATE($A$8,COLUMN()-7)),MONTH(EDATE($A$8,COLUMN()-7)),1)-1</f>
        <v>44408</v>
      </c>
      <c r="D12" s="33">
        <f t="shared" si="1"/>
        <v>44439</v>
      </c>
      <c r="E12" s="33">
        <f t="shared" si="1"/>
        <v>44469</v>
      </c>
      <c r="F12" s="33">
        <f t="shared" si="1"/>
        <v>44500</v>
      </c>
      <c r="G12" s="33">
        <f t="shared" si="1"/>
        <v>44530</v>
      </c>
      <c r="H12" s="33">
        <f t="shared" si="1"/>
        <v>44561</v>
      </c>
      <c r="I12" s="33">
        <f t="shared" si="1"/>
        <v>44592</v>
      </c>
      <c r="J12" s="33">
        <f t="shared" si="1"/>
        <v>44620</v>
      </c>
      <c r="K12" s="33">
        <f t="shared" si="1"/>
        <v>44651</v>
      </c>
      <c r="L12" s="33">
        <f t="shared" si="1"/>
        <v>44681</v>
      </c>
      <c r="M12" s="33">
        <f t="shared" si="1"/>
        <v>44712</v>
      </c>
      <c r="N12" s="33">
        <f t="shared" si="1"/>
        <v>44742</v>
      </c>
      <c r="O12" s="33">
        <f t="shared" si="1"/>
        <v>44773</v>
      </c>
      <c r="P12" s="33">
        <f t="shared" si="1"/>
        <v>44804</v>
      </c>
      <c r="Q12" s="33">
        <f t="shared" si="1"/>
        <v>44834</v>
      </c>
      <c r="R12" s="33">
        <f t="shared" si="1"/>
        <v>44865</v>
      </c>
      <c r="S12" s="33">
        <f t="shared" si="1"/>
        <v>44895</v>
      </c>
      <c r="T12" s="33">
        <f t="shared" si="1"/>
        <v>44926</v>
      </c>
      <c r="U12" s="33">
        <f t="shared" si="1"/>
        <v>44957</v>
      </c>
      <c r="V12" s="33">
        <f t="shared" si="1"/>
        <v>44985</v>
      </c>
      <c r="W12" s="33">
        <f t="shared" si="1"/>
        <v>45016</v>
      </c>
      <c r="X12" s="33">
        <f t="shared" si="1"/>
        <v>45046</v>
      </c>
      <c r="Y12" s="33">
        <f t="shared" si="1"/>
        <v>45077</v>
      </c>
      <c r="Z12" s="33">
        <f t="shared" si="1"/>
        <v>45107</v>
      </c>
      <c r="AA12" s="33">
        <f t="shared" si="1"/>
        <v>45138</v>
      </c>
      <c r="AB12" s="33">
        <f t="shared" si="1"/>
        <v>45169</v>
      </c>
      <c r="AC12" s="33">
        <f t="shared" si="1"/>
        <v>45199</v>
      </c>
      <c r="AD12" s="33">
        <f t="shared" si="1"/>
        <v>45230</v>
      </c>
      <c r="AE12" s="33">
        <f t="shared" si="1"/>
        <v>45260</v>
      </c>
      <c r="AF12" s="33">
        <f t="shared" si="1"/>
        <v>45291</v>
      </c>
    </row>
    <row r="13" spans="1:32" x14ac:dyDescent="0.35">
      <c r="B13" s="32" t="str">
        <f t="shared" ref="B13:AF13" si="2">IF(B$12&lt;StartDate,"Actual","Forecast")</f>
        <v>Actual</v>
      </c>
      <c r="C13" s="32" t="str">
        <f t="shared" si="2"/>
        <v>Actual</v>
      </c>
      <c r="D13" s="32" t="str">
        <f t="shared" si="2"/>
        <v>Actual</v>
      </c>
      <c r="E13" s="32" t="str">
        <f t="shared" si="2"/>
        <v>Actual</v>
      </c>
      <c r="F13" s="32" t="str">
        <f t="shared" si="2"/>
        <v>Actual</v>
      </c>
      <c r="G13" s="32" t="str">
        <f t="shared" si="2"/>
        <v>Actual</v>
      </c>
      <c r="H13" s="32" t="str">
        <f t="shared" si="2"/>
        <v>Forecast</v>
      </c>
      <c r="I13" s="32" t="str">
        <f t="shared" si="2"/>
        <v>Forecast</v>
      </c>
      <c r="J13" s="32" t="str">
        <f t="shared" si="2"/>
        <v>Forecast</v>
      </c>
      <c r="K13" s="32" t="str">
        <f t="shared" si="2"/>
        <v>Forecast</v>
      </c>
      <c r="L13" s="32" t="str">
        <f t="shared" si="2"/>
        <v>Forecast</v>
      </c>
      <c r="M13" s="32" t="str">
        <f t="shared" si="2"/>
        <v>Forecast</v>
      </c>
      <c r="N13" s="32" t="str">
        <f t="shared" si="2"/>
        <v>Forecast</v>
      </c>
      <c r="O13" s="32" t="str">
        <f t="shared" si="2"/>
        <v>Forecast</v>
      </c>
      <c r="P13" s="32" t="str">
        <f t="shared" si="2"/>
        <v>Forecast</v>
      </c>
      <c r="Q13" s="32" t="str">
        <f t="shared" si="2"/>
        <v>Forecast</v>
      </c>
      <c r="R13" s="32" t="str">
        <f t="shared" si="2"/>
        <v>Forecast</v>
      </c>
      <c r="S13" s="32" t="str">
        <f t="shared" si="2"/>
        <v>Forecast</v>
      </c>
      <c r="T13" s="32" t="str">
        <f t="shared" si="2"/>
        <v>Forecast</v>
      </c>
      <c r="U13" s="32" t="str">
        <f t="shared" si="2"/>
        <v>Forecast</v>
      </c>
      <c r="V13" s="32" t="str">
        <f t="shared" si="2"/>
        <v>Forecast</v>
      </c>
      <c r="W13" s="32" t="str">
        <f t="shared" si="2"/>
        <v>Forecast</v>
      </c>
      <c r="X13" s="32" t="str">
        <f t="shared" si="2"/>
        <v>Forecast</v>
      </c>
      <c r="Y13" s="32" t="str">
        <f t="shared" si="2"/>
        <v>Forecast</v>
      </c>
      <c r="Z13" s="32" t="str">
        <f t="shared" si="2"/>
        <v>Forecast</v>
      </c>
      <c r="AA13" s="32" t="str">
        <f t="shared" si="2"/>
        <v>Forecast</v>
      </c>
      <c r="AB13" s="32" t="str">
        <f t="shared" si="2"/>
        <v>Forecast</v>
      </c>
      <c r="AC13" s="32" t="str">
        <f t="shared" si="2"/>
        <v>Forecast</v>
      </c>
      <c r="AD13" s="32" t="str">
        <f t="shared" si="2"/>
        <v>Forecast</v>
      </c>
      <c r="AE13" s="32" t="str">
        <f t="shared" si="2"/>
        <v>Forecast</v>
      </c>
      <c r="AF13" s="32" t="str">
        <f t="shared" si="2"/>
        <v>Forecast</v>
      </c>
    </row>
    <row r="14" spans="1:32" x14ac:dyDescent="0.35">
      <c r="A14" s="30" t="str">
        <f>IF(MAX(B84:P84)&gt;100000,"Please enter values in thousands of pounds (£'000)","")</f>
        <v/>
      </c>
      <c r="B14" s="29" t="s">
        <v>40</v>
      </c>
      <c r="C14" s="29" t="s">
        <v>40</v>
      </c>
      <c r="D14" s="29" t="s">
        <v>40</v>
      </c>
      <c r="E14" s="29" t="s">
        <v>40</v>
      </c>
      <c r="F14" s="29" t="s">
        <v>40</v>
      </c>
      <c r="G14" s="29" t="s">
        <v>40</v>
      </c>
      <c r="H14" s="29" t="s">
        <v>40</v>
      </c>
      <c r="I14" s="29" t="s">
        <v>40</v>
      </c>
      <c r="J14" s="29" t="s">
        <v>40</v>
      </c>
      <c r="K14" s="29" t="s">
        <v>40</v>
      </c>
      <c r="L14" s="29" t="s">
        <v>40</v>
      </c>
      <c r="M14" s="29" t="s">
        <v>40</v>
      </c>
      <c r="N14" s="29" t="s">
        <v>40</v>
      </c>
      <c r="O14" s="29" t="s">
        <v>40</v>
      </c>
      <c r="P14" s="29" t="s">
        <v>40</v>
      </c>
      <c r="Q14" s="29" t="s">
        <v>40</v>
      </c>
      <c r="R14" s="29" t="s">
        <v>40</v>
      </c>
      <c r="S14" s="29" t="s">
        <v>40</v>
      </c>
      <c r="T14" s="29" t="s">
        <v>40</v>
      </c>
      <c r="U14" s="29" t="s">
        <v>40</v>
      </c>
      <c r="V14" s="29" t="s">
        <v>40</v>
      </c>
      <c r="W14" s="29" t="s">
        <v>40</v>
      </c>
      <c r="X14" s="29" t="s">
        <v>40</v>
      </c>
      <c r="Y14" s="29" t="s">
        <v>40</v>
      </c>
      <c r="Z14" s="29" t="s">
        <v>40</v>
      </c>
      <c r="AA14" s="29" t="s">
        <v>40</v>
      </c>
      <c r="AB14" s="29" t="s">
        <v>40</v>
      </c>
      <c r="AC14" s="29" t="s">
        <v>40</v>
      </c>
      <c r="AD14" s="29" t="s">
        <v>40</v>
      </c>
      <c r="AE14" s="29" t="s">
        <v>40</v>
      </c>
      <c r="AF14" s="29" t="s">
        <v>40</v>
      </c>
    </row>
    <row r="15" spans="1:32" ht="20.25" customHeight="1" x14ac:dyDescent="0.35">
      <c r="A15" s="9" t="s">
        <v>41</v>
      </c>
    </row>
    <row r="16" spans="1:32" hidden="1" x14ac:dyDescent="0.35">
      <c r="A16" t="s">
        <v>42</v>
      </c>
      <c r="B16" s="26" t="s">
        <v>43</v>
      </c>
      <c r="C16" s="26" t="s">
        <v>44</v>
      </c>
      <c r="D16" s="26" t="s">
        <v>45</v>
      </c>
      <c r="E16" s="26" t="s">
        <v>46</v>
      </c>
      <c r="F16" s="26" t="s">
        <v>47</v>
      </c>
      <c r="G16" s="26" t="s">
        <v>48</v>
      </c>
      <c r="H16" s="26" t="s">
        <v>49</v>
      </c>
      <c r="I16" s="26" t="s">
        <v>50</v>
      </c>
      <c r="J16" s="26" t="s">
        <v>51</v>
      </c>
      <c r="K16" s="26" t="s">
        <v>52</v>
      </c>
      <c r="L16" s="26" t="s">
        <v>53</v>
      </c>
      <c r="M16" s="26" t="s">
        <v>54</v>
      </c>
      <c r="N16" s="26" t="s">
        <v>55</v>
      </c>
      <c r="O16" s="26" t="s">
        <v>56</v>
      </c>
      <c r="P16" s="26" t="s">
        <v>57</v>
      </c>
      <c r="Q16" s="26" t="s">
        <v>58</v>
      </c>
      <c r="R16" s="26" t="s">
        <v>59</v>
      </c>
      <c r="S16" s="26" t="s">
        <v>60</v>
      </c>
      <c r="T16" s="26" t="s">
        <v>61</v>
      </c>
      <c r="U16" s="26" t="s">
        <v>62</v>
      </c>
      <c r="V16" s="26" t="s">
        <v>63</v>
      </c>
      <c r="W16" s="26" t="s">
        <v>64</v>
      </c>
      <c r="X16" s="26" t="s">
        <v>65</v>
      </c>
      <c r="Y16" s="26" t="s">
        <v>66</v>
      </c>
      <c r="Z16" t="s">
        <v>67</v>
      </c>
      <c r="AA16" t="s">
        <v>68</v>
      </c>
      <c r="AB16" t="s">
        <v>69</v>
      </c>
      <c r="AC16" t="s">
        <v>70</v>
      </c>
      <c r="AD16" t="s">
        <v>71</v>
      </c>
      <c r="AE16" s="26" t="s">
        <v>72</v>
      </c>
      <c r="AF16" s="26" t="s">
        <v>73</v>
      </c>
    </row>
    <row r="17" spans="1:32" x14ac:dyDescent="0.35">
      <c r="A17" s="3" t="s">
        <v>74</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row>
    <row r="18" spans="1:32" x14ac:dyDescent="0.35">
      <c r="A18" s="3" t="s">
        <v>75</v>
      </c>
      <c r="B18" s="82"/>
      <c r="C18" s="82"/>
      <c r="D18" s="82"/>
      <c r="E18" s="82"/>
      <c r="F18" s="82"/>
      <c r="G18" s="82"/>
      <c r="H18" s="82"/>
      <c r="I18" s="82"/>
      <c r="J18" s="82"/>
      <c r="K18" s="82"/>
      <c r="L18" s="82"/>
      <c r="M18" s="82"/>
      <c r="N18" s="82"/>
      <c r="O18" s="82"/>
      <c r="P18" s="82"/>
      <c r="Q18" s="83"/>
      <c r="R18" s="83"/>
      <c r="S18" s="83"/>
      <c r="T18" s="83"/>
      <c r="U18" s="83"/>
      <c r="V18" s="83"/>
      <c r="W18" s="83"/>
      <c r="X18" s="83"/>
      <c r="Y18" s="83"/>
      <c r="Z18" s="83"/>
      <c r="AA18" s="83"/>
      <c r="AB18" s="83"/>
      <c r="AC18" s="83"/>
      <c r="AD18" s="83"/>
      <c r="AE18" s="83"/>
      <c r="AF18" s="83"/>
    </row>
    <row r="19" spans="1:32" x14ac:dyDescent="0.35">
      <c r="A19" s="3" t="s">
        <v>76</v>
      </c>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3"/>
      <c r="AE19" s="83"/>
      <c r="AF19" s="83"/>
    </row>
    <row r="20" spans="1:32" x14ac:dyDescent="0.35">
      <c r="A20" s="3" t="s">
        <v>77</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3"/>
      <c r="AE20" s="83"/>
      <c r="AF20" s="83"/>
    </row>
    <row r="21" spans="1:32" x14ac:dyDescent="0.35">
      <c r="A21" s="3" t="s">
        <v>78</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3"/>
      <c r="AE21" s="83"/>
      <c r="AF21" s="83"/>
    </row>
    <row r="22" spans="1:32" x14ac:dyDescent="0.35">
      <c r="A22" s="3" t="s">
        <v>79</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3"/>
      <c r="AE22" s="83"/>
      <c r="AF22" s="83"/>
    </row>
    <row r="23" spans="1:32" x14ac:dyDescent="0.35">
      <c r="A23" s="3" t="s">
        <v>80</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3"/>
      <c r="AE23" s="83"/>
      <c r="AF23" s="83"/>
    </row>
    <row r="24" spans="1:32" x14ac:dyDescent="0.35">
      <c r="A24" s="3" t="s">
        <v>81</v>
      </c>
      <c r="B24" s="82"/>
      <c r="C24" s="82"/>
      <c r="D24" s="82"/>
      <c r="E24" s="82"/>
      <c r="F24" s="82"/>
      <c r="G24" s="82"/>
      <c r="H24" s="82"/>
      <c r="I24" s="82"/>
      <c r="J24" s="82"/>
      <c r="K24" s="82"/>
      <c r="L24" s="82"/>
      <c r="M24" s="82"/>
      <c r="N24" s="82"/>
      <c r="O24" s="82"/>
      <c r="P24" s="82"/>
      <c r="Q24" s="82"/>
      <c r="R24" s="82"/>
      <c r="S24" s="82"/>
      <c r="T24" s="83"/>
      <c r="U24" s="83"/>
      <c r="V24" s="83"/>
      <c r="W24" s="83"/>
      <c r="X24" s="83"/>
      <c r="Y24" s="83"/>
      <c r="Z24" s="83"/>
      <c r="AA24" s="83"/>
      <c r="AB24" s="83"/>
      <c r="AC24" s="83"/>
      <c r="AD24" s="83"/>
      <c r="AE24" s="83"/>
      <c r="AF24" s="83"/>
    </row>
    <row r="25" spans="1:32" ht="29.25" customHeight="1" x14ac:dyDescent="0.35">
      <c r="A25" s="35" t="s">
        <v>82</v>
      </c>
      <c r="B25" s="82"/>
      <c r="C25" s="82"/>
      <c r="D25" s="82"/>
      <c r="E25" s="82"/>
      <c r="F25" s="82"/>
      <c r="G25" s="82"/>
      <c r="H25" s="82"/>
      <c r="I25" s="82"/>
      <c r="J25" s="82"/>
      <c r="K25" s="82"/>
      <c r="L25" s="82"/>
      <c r="M25" s="82"/>
      <c r="N25" s="82"/>
      <c r="O25" s="82"/>
      <c r="P25" s="82"/>
      <c r="Q25" s="82"/>
      <c r="R25" s="83"/>
      <c r="S25" s="82"/>
      <c r="T25" s="82"/>
      <c r="U25" s="82"/>
      <c r="V25" s="82"/>
      <c r="W25" s="82"/>
      <c r="X25" s="83"/>
      <c r="Y25" s="83"/>
      <c r="Z25" s="83"/>
      <c r="AA25" s="83"/>
      <c r="AB25" s="83"/>
      <c r="AC25" s="83"/>
      <c r="AD25" s="83"/>
      <c r="AE25" s="83"/>
      <c r="AF25" s="83"/>
    </row>
    <row r="26" spans="1:32" x14ac:dyDescent="0.35">
      <c r="A26" s="35" t="s">
        <v>83</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row>
    <row r="27" spans="1:32" x14ac:dyDescent="0.35">
      <c r="A27" s="3" t="s">
        <v>84</v>
      </c>
      <c r="B27" s="82"/>
      <c r="C27" s="82"/>
      <c r="D27" s="82"/>
      <c r="E27" s="82"/>
      <c r="F27" s="82"/>
      <c r="G27" s="82"/>
      <c r="H27" s="82"/>
      <c r="I27" s="82"/>
      <c r="J27" s="82"/>
      <c r="K27" s="82"/>
      <c r="L27" s="82"/>
      <c r="M27" s="82"/>
      <c r="N27" s="82"/>
      <c r="O27" s="82"/>
      <c r="P27" s="82"/>
      <c r="Q27" s="83"/>
      <c r="R27" s="83"/>
      <c r="S27" s="83"/>
      <c r="T27" s="83"/>
      <c r="U27" s="83"/>
      <c r="V27" s="83"/>
      <c r="W27" s="83"/>
      <c r="X27" s="83"/>
      <c r="Y27" s="83"/>
      <c r="Z27" s="83"/>
      <c r="AA27" s="83"/>
      <c r="AB27" s="83"/>
      <c r="AC27" s="83"/>
      <c r="AD27" s="83"/>
      <c r="AE27" s="83"/>
      <c r="AF27" s="83"/>
    </row>
    <row r="28" spans="1:32" x14ac:dyDescent="0.35">
      <c r="A28" s="3" t="s">
        <v>85</v>
      </c>
      <c r="B28" s="82"/>
      <c r="C28" s="82"/>
      <c r="D28" s="82"/>
      <c r="E28" s="82"/>
      <c r="F28" s="82"/>
      <c r="G28" s="82"/>
      <c r="H28" s="82"/>
      <c r="I28" s="82"/>
      <c r="J28" s="82"/>
      <c r="K28" s="82"/>
      <c r="L28" s="82"/>
      <c r="M28" s="82"/>
      <c r="N28" s="82"/>
      <c r="O28" s="82"/>
      <c r="P28" s="82"/>
      <c r="Q28" s="83"/>
      <c r="R28" s="83"/>
      <c r="S28" s="83"/>
      <c r="T28" s="83"/>
      <c r="U28" s="83"/>
      <c r="V28" s="83"/>
      <c r="W28" s="83"/>
      <c r="X28" s="83"/>
      <c r="Y28" s="83"/>
      <c r="Z28" s="83"/>
      <c r="AA28" s="83"/>
      <c r="AB28" s="83"/>
      <c r="AC28" s="83"/>
      <c r="AD28" s="83"/>
      <c r="AE28" s="83"/>
      <c r="AF28" s="83"/>
    </row>
    <row r="29" spans="1:32" x14ac:dyDescent="0.35">
      <c r="A29" s="3"/>
    </row>
    <row r="30" spans="1:32" x14ac:dyDescent="0.35">
      <c r="A30" s="9" t="s">
        <v>86</v>
      </c>
    </row>
    <row r="31" spans="1:32" hidden="1" x14ac:dyDescent="0.35">
      <c r="A31" t="s">
        <v>42</v>
      </c>
      <c r="B31" s="26" t="s">
        <v>43</v>
      </c>
      <c r="C31" s="26" t="s">
        <v>44</v>
      </c>
      <c r="D31" s="26" t="s">
        <v>45</v>
      </c>
      <c r="E31" s="26" t="s">
        <v>46</v>
      </c>
      <c r="F31" s="26" t="s">
        <v>47</v>
      </c>
      <c r="G31" s="26" t="s">
        <v>48</v>
      </c>
      <c r="H31" s="26" t="s">
        <v>49</v>
      </c>
      <c r="I31" s="26" t="s">
        <v>50</v>
      </c>
      <c r="J31" s="26" t="s">
        <v>51</v>
      </c>
      <c r="K31" s="26" t="s">
        <v>52</v>
      </c>
      <c r="L31" s="26" t="s">
        <v>53</v>
      </c>
      <c r="M31" s="26" t="s">
        <v>54</v>
      </c>
      <c r="N31" s="26" t="s">
        <v>55</v>
      </c>
      <c r="O31" s="26" t="s">
        <v>56</v>
      </c>
      <c r="P31" s="26" t="s">
        <v>57</v>
      </c>
      <c r="Q31" s="26" t="s">
        <v>72</v>
      </c>
      <c r="R31" s="26" t="s">
        <v>73</v>
      </c>
      <c r="S31" s="26" t="s">
        <v>87</v>
      </c>
      <c r="T31" s="26" t="s">
        <v>88</v>
      </c>
      <c r="U31" s="26" t="s">
        <v>89</v>
      </c>
      <c r="V31" s="26" t="s">
        <v>90</v>
      </c>
      <c r="W31" s="26" t="s">
        <v>91</v>
      </c>
      <c r="X31" s="26" t="s">
        <v>92</v>
      </c>
      <c r="Y31" s="26" t="s">
        <v>93</v>
      </c>
      <c r="Z31" t="s">
        <v>67</v>
      </c>
      <c r="AA31" t="s">
        <v>68</v>
      </c>
      <c r="AB31" t="s">
        <v>69</v>
      </c>
      <c r="AC31" t="s">
        <v>70</v>
      </c>
      <c r="AD31" t="s">
        <v>71</v>
      </c>
      <c r="AE31" s="26" t="s">
        <v>94</v>
      </c>
      <c r="AF31" s="26" t="s">
        <v>95</v>
      </c>
    </row>
    <row r="32" spans="1:32" x14ac:dyDescent="0.35">
      <c r="A32" s="3" t="s">
        <v>96</v>
      </c>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row>
    <row r="33" spans="1:32" x14ac:dyDescent="0.35">
      <c r="A33" s="3" t="s">
        <v>97</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row>
    <row r="34" spans="1:32" ht="29" x14ac:dyDescent="0.35">
      <c r="A34" s="35" t="s">
        <v>98</v>
      </c>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row>
    <row r="35" spans="1:32" x14ac:dyDescent="0.35">
      <c r="A35" s="3" t="s">
        <v>99</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row>
    <row r="36" spans="1:32" x14ac:dyDescent="0.35">
      <c r="A36" s="3" t="s">
        <v>100</v>
      </c>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row>
    <row r="38" spans="1:32" x14ac:dyDescent="0.35">
      <c r="A38" s="7" t="s">
        <v>101</v>
      </c>
      <c r="B38" s="8">
        <f>SUM(OperatingReceipts[Month 1])</f>
        <v>0</v>
      </c>
      <c r="C38" s="8">
        <f>SUM(OperatingReceipts[Month 2])</f>
        <v>0</v>
      </c>
      <c r="D38" s="8">
        <f>SUM(OperatingReceipts[Month 3])</f>
        <v>0</v>
      </c>
      <c r="E38" s="8">
        <f>SUM(OperatingReceipts[Month 4])</f>
        <v>0</v>
      </c>
      <c r="F38" s="8">
        <f>SUM(OperatingReceipts[Month 5])</f>
        <v>0</v>
      </c>
      <c r="G38" s="8">
        <f>SUM(OperatingReceipts[Month 6])</f>
        <v>0</v>
      </c>
      <c r="H38" s="8">
        <f>SUM(OperatingReceipts[Month 7])</f>
        <v>0</v>
      </c>
      <c r="I38" s="8">
        <f>SUM(OperatingReceipts[Month 8])</f>
        <v>0</v>
      </c>
      <c r="J38" s="8">
        <f>SUM(OperatingReceipts[Month 9])</f>
        <v>0</v>
      </c>
      <c r="K38" s="8">
        <f>SUM(OperatingReceipts[Month 10])</f>
        <v>0</v>
      </c>
      <c r="L38" s="8">
        <f>SUM(OperatingReceipts[Month 11])</f>
        <v>0</v>
      </c>
      <c r="M38" s="8">
        <f>SUM(OperatingReceipts[Month 12])</f>
        <v>0</v>
      </c>
      <c r="N38" s="8">
        <f>SUM(OperatingReceipts[Month 13])</f>
        <v>0</v>
      </c>
      <c r="O38" s="8">
        <f>SUM(OperatingReceipts[Month 14])</f>
        <v>0</v>
      </c>
      <c r="P38" s="8">
        <f>SUM(OperatingReceipts[Month 15])</f>
        <v>0</v>
      </c>
      <c r="Q38" s="8">
        <f>SUM(OperatingReceipts[Month 16])</f>
        <v>0</v>
      </c>
      <c r="R38" s="8">
        <f>SUM(OperatingReceipts[Month 17])</f>
        <v>0</v>
      </c>
      <c r="S38" s="8">
        <f>SUM(OperatingReceipts[Month 18])</f>
        <v>0</v>
      </c>
      <c r="T38" s="8">
        <f>SUM(OperatingReceipts[Month 19])</f>
        <v>0</v>
      </c>
      <c r="U38" s="8">
        <f>SUM(OperatingReceipts[Month 20])</f>
        <v>0</v>
      </c>
      <c r="V38" s="8">
        <f>SUM(OperatingReceipts[Month 21])</f>
        <v>0</v>
      </c>
      <c r="W38" s="8">
        <f>SUM(OperatingReceipts[Month 22])</f>
        <v>0</v>
      </c>
      <c r="X38" s="8">
        <f>SUM(OperatingReceipts[Month 23])</f>
        <v>0</v>
      </c>
      <c r="Y38" s="8">
        <f>SUM(OperatingReceipts[Month 24])</f>
        <v>0</v>
      </c>
      <c r="Z38" s="8">
        <f>SUM(OperatingReceipts[Column1])</f>
        <v>0</v>
      </c>
      <c r="AA38" s="8">
        <f>SUM(OperatingReceipts[Column2])</f>
        <v>0</v>
      </c>
      <c r="AB38" s="8">
        <f>SUM(OperatingReceipts[Column3])</f>
        <v>0</v>
      </c>
      <c r="AC38" s="8">
        <f>SUM(OperatingReceipts[Column4])</f>
        <v>0</v>
      </c>
      <c r="AD38" s="8">
        <f>SUM(OperatingReceipts[Column5])</f>
        <v>0</v>
      </c>
      <c r="AE38" s="8">
        <f>SUM(OperatingReceipts[Column6])</f>
        <v>0</v>
      </c>
      <c r="AF38" s="8">
        <f>SUM(OperatingReceipts[Column7])</f>
        <v>0</v>
      </c>
    </row>
    <row r="39" spans="1:32" x14ac:dyDescent="0.35">
      <c r="A39" s="7" t="s">
        <v>102</v>
      </c>
      <c r="B39" s="8">
        <f>SUM(OperatingPayments[Month 1])</f>
        <v>0</v>
      </c>
      <c r="C39" s="8">
        <f>SUM(OperatingPayments[Month 2])</f>
        <v>0</v>
      </c>
      <c r="D39" s="8">
        <f>SUM(OperatingPayments[Month 3])</f>
        <v>0</v>
      </c>
      <c r="E39" s="8">
        <f>SUM(OperatingPayments[Month 4])</f>
        <v>0</v>
      </c>
      <c r="F39" s="8">
        <f>SUM(OperatingPayments[Month 5])</f>
        <v>0</v>
      </c>
      <c r="G39" s="8">
        <f>SUM(OperatingPayments[Month 6])</f>
        <v>0</v>
      </c>
      <c r="H39" s="8">
        <f>SUM(OperatingPayments[Month 7])</f>
        <v>0</v>
      </c>
      <c r="I39" s="8">
        <f>SUM(OperatingPayments[Month 8])</f>
        <v>0</v>
      </c>
      <c r="J39" s="8">
        <f>SUM(OperatingPayments[Month 9])</f>
        <v>0</v>
      </c>
      <c r="K39" s="8">
        <f>SUM(OperatingPayments[Month 10])</f>
        <v>0</v>
      </c>
      <c r="L39" s="8">
        <f>SUM(OperatingPayments[Month 11])</f>
        <v>0</v>
      </c>
      <c r="M39" s="8">
        <f>SUM(OperatingPayments[Month 12])</f>
        <v>0</v>
      </c>
      <c r="N39" s="8">
        <f>SUM(OperatingPayments[Month 13])</f>
        <v>0</v>
      </c>
      <c r="O39" s="8">
        <f>SUM(OperatingPayments[Month 14])</f>
        <v>0</v>
      </c>
      <c r="P39" s="8">
        <f>SUM(OperatingPayments[Month 15])</f>
        <v>0</v>
      </c>
      <c r="Q39" s="8">
        <f>SUM(OperatingPayments[Column6])</f>
        <v>0</v>
      </c>
      <c r="R39" s="8">
        <f>SUM(OperatingPayments[Column7])</f>
        <v>0</v>
      </c>
      <c r="S39" s="8">
        <f>SUM(OperatingPayments[Column8])</f>
        <v>0</v>
      </c>
      <c r="T39" s="8">
        <f>SUM(OperatingPayments[Column9])</f>
        <v>0</v>
      </c>
      <c r="U39" s="8">
        <f>SUM(OperatingPayments[Column10])</f>
        <v>0</v>
      </c>
      <c r="V39" s="8">
        <f>SUM(OperatingPayments[Column11])</f>
        <v>0</v>
      </c>
      <c r="W39" s="8">
        <f>SUM(OperatingPayments[Column12])</f>
        <v>0</v>
      </c>
      <c r="X39" s="8">
        <f>SUM(OperatingPayments[Column13])</f>
        <v>0</v>
      </c>
      <c r="Y39" s="8">
        <f>SUM(OperatingPayments[Column14])</f>
        <v>0</v>
      </c>
      <c r="Z39" s="8">
        <f>SUM(OperatingPayments[Column1])</f>
        <v>0</v>
      </c>
      <c r="AA39" s="8">
        <f>SUM(OperatingPayments[Column2])</f>
        <v>0</v>
      </c>
      <c r="AB39" s="8">
        <f>SUM(OperatingPayments[Column3])</f>
        <v>0</v>
      </c>
      <c r="AC39" s="8">
        <f>SUM(OperatingPayments[Column4])</f>
        <v>0</v>
      </c>
      <c r="AD39" s="8">
        <f>SUM(OperatingPayments[Column5])</f>
        <v>0</v>
      </c>
      <c r="AE39" s="8">
        <f>SUM(OperatingPayments[Column52])</f>
        <v>0</v>
      </c>
      <c r="AF39" s="8">
        <f>SUM(OperatingPayments[Column53])</f>
        <v>0</v>
      </c>
    </row>
    <row r="40" spans="1:32" x14ac:dyDescent="0.35">
      <c r="A40" s="20"/>
      <c r="B40" s="21"/>
      <c r="C40" s="21"/>
      <c r="D40" s="21"/>
      <c r="E40" s="21"/>
      <c r="F40" s="21"/>
      <c r="G40" s="21"/>
      <c r="H40" s="21"/>
      <c r="I40" s="21"/>
      <c r="J40" s="21"/>
      <c r="K40" s="21"/>
      <c r="L40" s="21"/>
      <c r="M40" s="21"/>
      <c r="N40" s="21"/>
      <c r="O40" s="21"/>
      <c r="P40" s="21"/>
      <c r="Q40" s="21"/>
      <c r="R40" s="21"/>
      <c r="S40" s="21"/>
      <c r="T40" s="21"/>
      <c r="U40" s="21"/>
      <c r="V40" s="21"/>
      <c r="W40" s="21"/>
      <c r="X40" s="21"/>
      <c r="Y40" s="21"/>
    </row>
    <row r="41" spans="1:32" x14ac:dyDescent="0.35">
      <c r="A41" s="23" t="s">
        <v>103</v>
      </c>
      <c r="B41" s="24">
        <f t="shared" ref="B41:P41" si="3">B38-B39</f>
        <v>0</v>
      </c>
      <c r="C41" s="24">
        <f t="shared" si="3"/>
        <v>0</v>
      </c>
      <c r="D41" s="24">
        <f t="shared" si="3"/>
        <v>0</v>
      </c>
      <c r="E41" s="24">
        <f t="shared" si="3"/>
        <v>0</v>
      </c>
      <c r="F41" s="24">
        <f t="shared" si="3"/>
        <v>0</v>
      </c>
      <c r="G41" s="24">
        <f t="shared" si="3"/>
        <v>0</v>
      </c>
      <c r="H41" s="24">
        <f t="shared" si="3"/>
        <v>0</v>
      </c>
      <c r="I41" s="24">
        <f t="shared" si="3"/>
        <v>0</v>
      </c>
      <c r="J41" s="24">
        <f t="shared" si="3"/>
        <v>0</v>
      </c>
      <c r="K41" s="24">
        <f t="shared" si="3"/>
        <v>0</v>
      </c>
      <c r="L41" s="24">
        <f t="shared" si="3"/>
        <v>0</v>
      </c>
      <c r="M41" s="24">
        <f>M38-M39</f>
        <v>0</v>
      </c>
      <c r="N41" s="24">
        <f t="shared" si="3"/>
        <v>0</v>
      </c>
      <c r="O41" s="24">
        <f t="shared" si="3"/>
        <v>0</v>
      </c>
      <c r="P41" s="24">
        <f t="shared" si="3"/>
        <v>0</v>
      </c>
      <c r="Q41" s="24">
        <f t="shared" ref="Q41:AE41" si="4">Q38-Q39</f>
        <v>0</v>
      </c>
      <c r="R41" s="24">
        <f t="shared" si="4"/>
        <v>0</v>
      </c>
      <c r="S41" s="24">
        <f t="shared" si="4"/>
        <v>0</v>
      </c>
      <c r="T41" s="24">
        <f t="shared" si="4"/>
        <v>0</v>
      </c>
      <c r="U41" s="24">
        <f t="shared" si="4"/>
        <v>0</v>
      </c>
      <c r="V41" s="24">
        <f t="shared" si="4"/>
        <v>0</v>
      </c>
      <c r="W41" s="24">
        <f t="shared" si="4"/>
        <v>0</v>
      </c>
      <c r="X41" s="24">
        <f t="shared" si="4"/>
        <v>0</v>
      </c>
      <c r="Y41" s="24">
        <f t="shared" si="4"/>
        <v>0</v>
      </c>
      <c r="Z41" s="24">
        <f t="shared" si="4"/>
        <v>0</v>
      </c>
      <c r="AA41" s="24">
        <f t="shared" si="4"/>
        <v>0</v>
      </c>
      <c r="AB41" s="24">
        <f t="shared" si="4"/>
        <v>0</v>
      </c>
      <c r="AC41" s="24">
        <f t="shared" si="4"/>
        <v>0</v>
      </c>
      <c r="AD41" s="24">
        <f t="shared" si="4"/>
        <v>0</v>
      </c>
      <c r="AE41" s="24">
        <f t="shared" si="4"/>
        <v>0</v>
      </c>
      <c r="AF41" s="24">
        <f>AF38-AF39</f>
        <v>0</v>
      </c>
    </row>
    <row r="42" spans="1:32" x14ac:dyDescent="0.35">
      <c r="A42" s="20"/>
      <c r="B42" s="21"/>
      <c r="C42" s="21"/>
      <c r="D42" s="21"/>
      <c r="E42" s="21"/>
      <c r="F42" s="21"/>
      <c r="G42" s="21"/>
      <c r="H42" s="21"/>
      <c r="I42" s="21"/>
      <c r="J42" s="21"/>
      <c r="K42" s="21"/>
      <c r="L42" s="21"/>
      <c r="M42" s="21"/>
      <c r="N42" s="21"/>
      <c r="O42" s="21"/>
      <c r="P42" s="21"/>
    </row>
    <row r="43" spans="1:32" x14ac:dyDescent="0.35">
      <c r="A43" s="9" t="s">
        <v>104</v>
      </c>
    </row>
    <row r="44" spans="1:32" hidden="1" x14ac:dyDescent="0.35">
      <c r="A44" t="s">
        <v>42</v>
      </c>
      <c r="B44" s="26" t="s">
        <v>43</v>
      </c>
      <c r="C44" s="26" t="s">
        <v>44</v>
      </c>
      <c r="D44" s="26" t="s">
        <v>45</v>
      </c>
      <c r="E44" s="26" t="s">
        <v>46</v>
      </c>
      <c r="F44" s="26" t="s">
        <v>47</v>
      </c>
      <c r="G44" s="26" t="s">
        <v>48</v>
      </c>
      <c r="H44" s="26" t="s">
        <v>49</v>
      </c>
      <c r="I44" s="26" t="s">
        <v>50</v>
      </c>
      <c r="J44" s="26" t="s">
        <v>51</v>
      </c>
      <c r="K44" s="26" t="s">
        <v>52</v>
      </c>
      <c r="L44" s="26" t="s">
        <v>53</v>
      </c>
      <c r="M44" s="26" t="s">
        <v>54</v>
      </c>
      <c r="N44" s="26" t="s">
        <v>55</v>
      </c>
      <c r="O44" s="26" t="s">
        <v>56</v>
      </c>
      <c r="P44" s="26" t="s">
        <v>57</v>
      </c>
      <c r="Q44" s="26" t="s">
        <v>58</v>
      </c>
      <c r="R44" s="26" t="s">
        <v>59</v>
      </c>
      <c r="S44" s="26" t="s">
        <v>60</v>
      </c>
      <c r="T44" s="26" t="s">
        <v>61</v>
      </c>
      <c r="U44" s="26" t="s">
        <v>62</v>
      </c>
      <c r="V44" s="26" t="s">
        <v>63</v>
      </c>
      <c r="W44" s="26" t="s">
        <v>64</v>
      </c>
      <c r="X44" s="26" t="s">
        <v>65</v>
      </c>
      <c r="Y44" s="26" t="s">
        <v>66</v>
      </c>
      <c r="Z44" t="s">
        <v>67</v>
      </c>
      <c r="AA44" t="s">
        <v>68</v>
      </c>
      <c r="AB44" t="s">
        <v>69</v>
      </c>
      <c r="AC44" t="s">
        <v>70</v>
      </c>
      <c r="AD44" t="s">
        <v>71</v>
      </c>
      <c r="AE44" s="26" t="s">
        <v>72</v>
      </c>
      <c r="AF44" s="26" t="s">
        <v>73</v>
      </c>
    </row>
    <row r="45" spans="1:32" x14ac:dyDescent="0.35">
      <c r="A45" s="3" t="s">
        <v>105</v>
      </c>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row>
    <row r="46" spans="1:32" x14ac:dyDescent="0.35">
      <c r="A46" s="3" t="s">
        <v>106</v>
      </c>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row>
    <row r="47" spans="1:32" x14ac:dyDescent="0.35">
      <c r="A47" s="3" t="s">
        <v>85</v>
      </c>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row>
    <row r="49" spans="1:32" x14ac:dyDescent="0.35">
      <c r="A49" s="9" t="s">
        <v>107</v>
      </c>
    </row>
    <row r="50" spans="1:32" hidden="1" x14ac:dyDescent="0.35">
      <c r="A50" t="s">
        <v>42</v>
      </c>
      <c r="B50" s="26" t="s">
        <v>43</v>
      </c>
      <c r="C50" s="26" t="s">
        <v>44</v>
      </c>
      <c r="D50" s="26" t="s">
        <v>45</v>
      </c>
      <c r="E50" s="26" t="s">
        <v>46</v>
      </c>
      <c r="F50" s="26" t="s">
        <v>47</v>
      </c>
      <c r="G50" s="26" t="s">
        <v>48</v>
      </c>
      <c r="H50" s="26" t="s">
        <v>49</v>
      </c>
      <c r="I50" s="26" t="s">
        <v>50</v>
      </c>
      <c r="J50" s="26" t="s">
        <v>51</v>
      </c>
      <c r="K50" s="26" t="s">
        <v>52</v>
      </c>
      <c r="L50" s="26" t="s">
        <v>53</v>
      </c>
      <c r="M50" s="26" t="s">
        <v>54</v>
      </c>
      <c r="N50" s="26" t="s">
        <v>55</v>
      </c>
      <c r="O50" s="26" t="s">
        <v>56</v>
      </c>
      <c r="P50" s="26" t="s">
        <v>57</v>
      </c>
      <c r="Q50" s="26" t="s">
        <v>72</v>
      </c>
      <c r="R50" s="26" t="s">
        <v>73</v>
      </c>
      <c r="S50" s="26" t="s">
        <v>87</v>
      </c>
      <c r="T50" s="26" t="s">
        <v>88</v>
      </c>
      <c r="U50" s="26" t="s">
        <v>89</v>
      </c>
      <c r="V50" s="26" t="s">
        <v>90</v>
      </c>
      <c r="W50" s="26" t="s">
        <v>91</v>
      </c>
      <c r="X50" s="26" t="s">
        <v>92</v>
      </c>
      <c r="Y50" s="26" t="s">
        <v>93</v>
      </c>
      <c r="Z50" t="s">
        <v>67</v>
      </c>
      <c r="AA50" t="s">
        <v>68</v>
      </c>
      <c r="AB50" t="s">
        <v>69</v>
      </c>
      <c r="AC50" t="s">
        <v>70</v>
      </c>
      <c r="AD50" t="s">
        <v>71</v>
      </c>
      <c r="AE50" s="26" t="s">
        <v>94</v>
      </c>
      <c r="AF50" s="26" t="s">
        <v>95</v>
      </c>
    </row>
    <row r="51" spans="1:32" x14ac:dyDescent="0.35">
      <c r="A51" s="3" t="s">
        <v>108</v>
      </c>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row>
    <row r="52" spans="1:32" x14ac:dyDescent="0.35">
      <c r="A52" s="3" t="s">
        <v>109</v>
      </c>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row>
    <row r="53" spans="1:32" x14ac:dyDescent="0.35">
      <c r="A53" s="3" t="s">
        <v>85</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row>
    <row r="55" spans="1:32" x14ac:dyDescent="0.35">
      <c r="A55" s="7" t="s">
        <v>110</v>
      </c>
      <c r="B55" s="8">
        <f>SUM(InvestingReceipts[Month 1])</f>
        <v>0</v>
      </c>
      <c r="C55" s="8">
        <f>SUM(InvestingReceipts[Month 2])</f>
        <v>0</v>
      </c>
      <c r="D55" s="8">
        <f>SUM(InvestingReceipts[Month 3])</f>
        <v>0</v>
      </c>
      <c r="E55" s="8">
        <f>SUM(InvestingReceipts[Month 4])</f>
        <v>0</v>
      </c>
      <c r="F55" s="8">
        <f>SUM(InvestingReceipts[Month 5])</f>
        <v>0</v>
      </c>
      <c r="G55" s="8">
        <f>SUM(InvestingReceipts[Month 6])</f>
        <v>0</v>
      </c>
      <c r="H55" s="8">
        <f>SUM(InvestingReceipts[Month 7])</f>
        <v>0</v>
      </c>
      <c r="I55" s="8">
        <f>SUM(InvestingReceipts[Month 8])</f>
        <v>0</v>
      </c>
      <c r="J55" s="8">
        <f>SUM(InvestingReceipts[Month 9])</f>
        <v>0</v>
      </c>
      <c r="K55" s="8">
        <f>SUM(InvestingReceipts[Month 10])</f>
        <v>0</v>
      </c>
      <c r="L55" s="8">
        <f>SUM(InvestingReceipts[Month 11])</f>
        <v>0</v>
      </c>
      <c r="M55" s="8">
        <f>SUM(InvestingReceipts[Month 12])</f>
        <v>0</v>
      </c>
      <c r="N55" s="8">
        <f>SUM(InvestingReceipts[Month 13])</f>
        <v>0</v>
      </c>
      <c r="O55" s="8">
        <f>SUM(InvestingReceipts[Month 14])</f>
        <v>0</v>
      </c>
      <c r="P55" s="8">
        <f>SUM(InvestingReceipts[Month 15])</f>
        <v>0</v>
      </c>
      <c r="Q55" s="8">
        <f>SUM(InvestingReceipts[Month 16])</f>
        <v>0</v>
      </c>
      <c r="R55" s="8">
        <f>SUM(InvestingReceipts[Month 17])</f>
        <v>0</v>
      </c>
      <c r="S55" s="8">
        <f>SUM(InvestingReceipts[Month 18])</f>
        <v>0</v>
      </c>
      <c r="T55" s="8">
        <f>SUM(InvestingReceipts[Month 19])</f>
        <v>0</v>
      </c>
      <c r="U55" s="8">
        <f>SUM(InvestingReceipts[Month 20])</f>
        <v>0</v>
      </c>
      <c r="V55" s="8">
        <f>SUM(InvestingReceipts[Month 21])</f>
        <v>0</v>
      </c>
      <c r="W55" s="8">
        <f>SUM(InvestingReceipts[Month 22])</f>
        <v>0</v>
      </c>
      <c r="X55" s="8">
        <f>SUM(InvestingReceipts[Month 23])</f>
        <v>0</v>
      </c>
      <c r="Y55" s="8">
        <f>SUM(InvestingReceipts[Month 24])</f>
        <v>0</v>
      </c>
      <c r="Z55" s="8">
        <f>SUM(InvestingReceipts[Column1])</f>
        <v>0</v>
      </c>
      <c r="AA55" s="8">
        <f>SUM(InvestingReceipts[Column2])</f>
        <v>0</v>
      </c>
      <c r="AB55" s="8">
        <f>SUM(InvestingReceipts[Column3])</f>
        <v>0</v>
      </c>
      <c r="AC55" s="8">
        <f>SUM(InvestingReceipts[Column4])</f>
        <v>0</v>
      </c>
      <c r="AD55" s="8">
        <f>SUM(InvestingReceipts[Column5])</f>
        <v>0</v>
      </c>
      <c r="AE55" s="8">
        <f>SUM(InvestingReceipts[Column6])</f>
        <v>0</v>
      </c>
      <c r="AF55" s="8">
        <f>SUM(InvestingReceipts[Column7])</f>
        <v>0</v>
      </c>
    </row>
    <row r="56" spans="1:32" x14ac:dyDescent="0.35">
      <c r="A56" s="7" t="s">
        <v>111</v>
      </c>
      <c r="B56" s="8">
        <f>SUM(InvestingPayments[Month 1])</f>
        <v>0</v>
      </c>
      <c r="C56" s="8">
        <f>SUM(InvestingPayments[Month 2])</f>
        <v>0</v>
      </c>
      <c r="D56" s="8">
        <f>SUM(InvestingPayments[Month 3])</f>
        <v>0</v>
      </c>
      <c r="E56" s="8">
        <f>SUM(InvestingPayments[Month 4])</f>
        <v>0</v>
      </c>
      <c r="F56" s="8">
        <f>SUM(InvestingPayments[Month 5])</f>
        <v>0</v>
      </c>
      <c r="G56" s="8">
        <f>SUM(InvestingPayments[Month 6])</f>
        <v>0</v>
      </c>
      <c r="H56" s="8">
        <f>SUM(InvestingPayments[Month 7])</f>
        <v>0</v>
      </c>
      <c r="I56" s="8">
        <f>SUM(InvestingPayments[Month 8])</f>
        <v>0</v>
      </c>
      <c r="J56" s="8">
        <f>SUM(InvestingPayments[Month 9])</f>
        <v>0</v>
      </c>
      <c r="K56" s="8">
        <f>SUM(InvestingPayments[Month 10])</f>
        <v>0</v>
      </c>
      <c r="L56" s="8">
        <f>SUM(InvestingPayments[Month 11])</f>
        <v>0</v>
      </c>
      <c r="M56" s="8">
        <f>SUM(InvestingPayments[Month 12])</f>
        <v>0</v>
      </c>
      <c r="N56" s="8">
        <f>SUM(InvestingPayments[Month 13])</f>
        <v>0</v>
      </c>
      <c r="O56" s="8">
        <f>SUM(InvestingPayments[Month 14])</f>
        <v>0</v>
      </c>
      <c r="P56" s="8">
        <f>SUM(InvestingPayments[Month 15])</f>
        <v>0</v>
      </c>
      <c r="Q56" s="8">
        <f>SUM(InvestingPayments[Column6])</f>
        <v>0</v>
      </c>
      <c r="R56" s="8">
        <f>SUM(InvestingPayments[Column7])</f>
        <v>0</v>
      </c>
      <c r="S56" s="8">
        <f>SUM(InvestingPayments[Column8])</f>
        <v>0</v>
      </c>
      <c r="T56" s="8">
        <f>SUM(InvestingPayments[Column9])</f>
        <v>0</v>
      </c>
      <c r="U56" s="8">
        <f>SUM(InvestingPayments[Column10])</f>
        <v>0</v>
      </c>
      <c r="V56" s="8">
        <f>SUM(InvestingPayments[Column11])</f>
        <v>0</v>
      </c>
      <c r="W56" s="8">
        <f>SUM(InvestingPayments[Column12])</f>
        <v>0</v>
      </c>
      <c r="X56" s="8">
        <f>SUM(InvestingPayments[Column13])</f>
        <v>0</v>
      </c>
      <c r="Y56" s="8">
        <f>SUM(InvestingPayments[Column14])</f>
        <v>0</v>
      </c>
      <c r="Z56" s="8">
        <f>SUM(InvestingPayments[Column1])</f>
        <v>0</v>
      </c>
      <c r="AA56" s="8">
        <f>SUM(InvestingPayments[Column2])</f>
        <v>0</v>
      </c>
      <c r="AB56" s="8">
        <f>SUM(InvestingPayments[Column3])</f>
        <v>0</v>
      </c>
      <c r="AC56" s="8">
        <f>SUM(InvestingPayments[Column4])</f>
        <v>0</v>
      </c>
      <c r="AD56" s="8">
        <f>SUM(InvestingPayments[Column5])</f>
        <v>0</v>
      </c>
      <c r="AE56" s="8">
        <f>SUM(InvestingPayments[Column52])</f>
        <v>0</v>
      </c>
      <c r="AF56" s="8">
        <f>SUM(InvestingPayments[Column53])</f>
        <v>0</v>
      </c>
    </row>
    <row r="58" spans="1:32" x14ac:dyDescent="0.35">
      <c r="A58" s="23" t="s">
        <v>112</v>
      </c>
      <c r="B58" s="24">
        <f>B55-B56</f>
        <v>0</v>
      </c>
      <c r="C58" s="24">
        <f t="shared" ref="C58:P58" si="5">C55-C56</f>
        <v>0</v>
      </c>
      <c r="D58" s="24">
        <f t="shared" si="5"/>
        <v>0</v>
      </c>
      <c r="E58" s="24">
        <f t="shared" si="5"/>
        <v>0</v>
      </c>
      <c r="F58" s="24">
        <f t="shared" si="5"/>
        <v>0</v>
      </c>
      <c r="G58" s="24">
        <f t="shared" si="5"/>
        <v>0</v>
      </c>
      <c r="H58" s="24">
        <f t="shared" si="5"/>
        <v>0</v>
      </c>
      <c r="I58" s="24">
        <f t="shared" si="5"/>
        <v>0</v>
      </c>
      <c r="J58" s="24">
        <f>J55-J56</f>
        <v>0</v>
      </c>
      <c r="K58" s="24">
        <f t="shared" si="5"/>
        <v>0</v>
      </c>
      <c r="L58" s="24">
        <f t="shared" si="5"/>
        <v>0</v>
      </c>
      <c r="M58" s="24">
        <f t="shared" si="5"/>
        <v>0</v>
      </c>
      <c r="N58" s="24">
        <f t="shared" si="5"/>
        <v>0</v>
      </c>
      <c r="O58" s="24">
        <f t="shared" si="5"/>
        <v>0</v>
      </c>
      <c r="P58" s="24">
        <f t="shared" si="5"/>
        <v>0</v>
      </c>
      <c r="Q58" s="24">
        <f t="shared" ref="Q58:AF58" si="6">Q55-Q56</f>
        <v>0</v>
      </c>
      <c r="R58" s="24">
        <f t="shared" si="6"/>
        <v>0</v>
      </c>
      <c r="S58" s="24">
        <f t="shared" si="6"/>
        <v>0</v>
      </c>
      <c r="T58" s="24">
        <f t="shared" si="6"/>
        <v>0</v>
      </c>
      <c r="U58" s="24">
        <f t="shared" si="6"/>
        <v>0</v>
      </c>
      <c r="V58" s="24">
        <f t="shared" si="6"/>
        <v>0</v>
      </c>
      <c r="W58" s="24">
        <f t="shared" si="6"/>
        <v>0</v>
      </c>
      <c r="X58" s="24">
        <f t="shared" si="6"/>
        <v>0</v>
      </c>
      <c r="Y58" s="24">
        <f t="shared" si="6"/>
        <v>0</v>
      </c>
      <c r="Z58" s="24">
        <f t="shared" si="6"/>
        <v>0</v>
      </c>
      <c r="AA58" s="24">
        <f t="shared" si="6"/>
        <v>0</v>
      </c>
      <c r="AB58" s="24">
        <f t="shared" si="6"/>
        <v>0</v>
      </c>
      <c r="AC58" s="24">
        <f t="shared" si="6"/>
        <v>0</v>
      </c>
      <c r="AD58" s="24">
        <f t="shared" si="6"/>
        <v>0</v>
      </c>
      <c r="AE58" s="24">
        <f t="shared" si="6"/>
        <v>0</v>
      </c>
      <c r="AF58" s="24">
        <f t="shared" si="6"/>
        <v>0</v>
      </c>
    </row>
    <row r="60" spans="1:32" x14ac:dyDescent="0.35">
      <c r="A60" s="9" t="s">
        <v>113</v>
      </c>
    </row>
    <row r="61" spans="1:32" hidden="1" x14ac:dyDescent="0.35">
      <c r="A61" t="s">
        <v>42</v>
      </c>
      <c r="B61" s="26" t="s">
        <v>43</v>
      </c>
      <c r="C61" s="26" t="s">
        <v>44</v>
      </c>
      <c r="D61" s="26" t="s">
        <v>45</v>
      </c>
      <c r="E61" s="26" t="s">
        <v>46</v>
      </c>
      <c r="F61" s="26" t="s">
        <v>47</v>
      </c>
      <c r="G61" s="26" t="s">
        <v>48</v>
      </c>
      <c r="H61" s="26" t="s">
        <v>49</v>
      </c>
      <c r="I61" s="26" t="s">
        <v>50</v>
      </c>
      <c r="J61" s="26" t="s">
        <v>51</v>
      </c>
      <c r="K61" s="26" t="s">
        <v>52</v>
      </c>
      <c r="L61" s="26" t="s">
        <v>53</v>
      </c>
      <c r="M61" s="26" t="s">
        <v>54</v>
      </c>
      <c r="N61" s="26" t="s">
        <v>55</v>
      </c>
      <c r="O61" s="26" t="s">
        <v>56</v>
      </c>
      <c r="P61" s="26" t="s">
        <v>57</v>
      </c>
      <c r="Q61" s="26" t="s">
        <v>58</v>
      </c>
      <c r="R61" s="26" t="s">
        <v>59</v>
      </c>
      <c r="S61" s="26" t="s">
        <v>60</v>
      </c>
      <c r="T61" s="26" t="s">
        <v>61</v>
      </c>
      <c r="U61" s="26" t="s">
        <v>62</v>
      </c>
      <c r="V61" s="26" t="s">
        <v>63</v>
      </c>
      <c r="W61" s="26" t="s">
        <v>64</v>
      </c>
      <c r="X61" s="26" t="s">
        <v>65</v>
      </c>
      <c r="Y61" s="26" t="s">
        <v>66</v>
      </c>
      <c r="Z61" t="s">
        <v>67</v>
      </c>
      <c r="AA61" t="s">
        <v>68</v>
      </c>
      <c r="AB61" t="s">
        <v>69</v>
      </c>
      <c r="AC61" t="s">
        <v>70</v>
      </c>
      <c r="AD61" t="s">
        <v>71</v>
      </c>
      <c r="AE61" s="26" t="s">
        <v>72</v>
      </c>
      <c r="AF61" s="26" t="s">
        <v>73</v>
      </c>
    </row>
    <row r="62" spans="1:32" x14ac:dyDescent="0.35">
      <c r="A62" s="3" t="s">
        <v>114</v>
      </c>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row>
    <row r="63" spans="1:32" x14ac:dyDescent="0.35">
      <c r="A63" s="3" t="s">
        <v>115</v>
      </c>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row>
    <row r="64" spans="1:32" x14ac:dyDescent="0.35">
      <c r="A64" s="3" t="s">
        <v>116</v>
      </c>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row>
    <row r="65" spans="1:32" x14ac:dyDescent="0.35">
      <c r="A65" s="3" t="s">
        <v>85</v>
      </c>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row>
    <row r="67" spans="1:32" x14ac:dyDescent="0.35">
      <c r="A67" s="9" t="s">
        <v>117</v>
      </c>
    </row>
    <row r="68" spans="1:32" hidden="1" x14ac:dyDescent="0.35">
      <c r="A68" t="s">
        <v>42</v>
      </c>
      <c r="B68" s="26" t="s">
        <v>43</v>
      </c>
      <c r="C68" s="26" t="s">
        <v>44</v>
      </c>
      <c r="D68" s="26" t="s">
        <v>45</v>
      </c>
      <c r="E68" s="26" t="s">
        <v>46</v>
      </c>
      <c r="F68" s="26" t="s">
        <v>47</v>
      </c>
      <c r="G68" s="26" t="s">
        <v>48</v>
      </c>
      <c r="H68" s="26" t="s">
        <v>49</v>
      </c>
      <c r="I68" s="26" t="s">
        <v>50</v>
      </c>
      <c r="J68" s="26" t="s">
        <v>51</v>
      </c>
      <c r="K68" s="26" t="s">
        <v>52</v>
      </c>
      <c r="L68" s="26" t="s">
        <v>53</v>
      </c>
      <c r="M68" s="26" t="s">
        <v>54</v>
      </c>
      <c r="N68" s="26" t="s">
        <v>55</v>
      </c>
      <c r="O68" s="26" t="s">
        <v>56</v>
      </c>
      <c r="P68" s="26" t="s">
        <v>57</v>
      </c>
      <c r="Q68" s="26" t="s">
        <v>72</v>
      </c>
      <c r="R68" s="26" t="s">
        <v>73</v>
      </c>
      <c r="S68" s="26" t="s">
        <v>87</v>
      </c>
      <c r="T68" s="26" t="s">
        <v>88</v>
      </c>
      <c r="U68" s="26" t="s">
        <v>89</v>
      </c>
      <c r="V68" s="26" t="s">
        <v>90</v>
      </c>
      <c r="W68" s="26" t="s">
        <v>91</v>
      </c>
      <c r="X68" s="26" t="s">
        <v>92</v>
      </c>
      <c r="Y68" s="26" t="s">
        <v>93</v>
      </c>
      <c r="Z68" t="s">
        <v>67</v>
      </c>
      <c r="AA68" t="s">
        <v>68</v>
      </c>
      <c r="AB68" t="s">
        <v>69</v>
      </c>
      <c r="AC68" t="s">
        <v>70</v>
      </c>
      <c r="AD68" t="s">
        <v>71</v>
      </c>
      <c r="AE68" s="26" t="s">
        <v>94</v>
      </c>
      <c r="AF68" s="26" t="s">
        <v>95</v>
      </c>
    </row>
    <row r="69" spans="1:32" x14ac:dyDescent="0.35">
      <c r="A69" s="3" t="s">
        <v>118</v>
      </c>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row>
    <row r="70" spans="1:32" x14ac:dyDescent="0.35">
      <c r="A70" s="3" t="s">
        <v>119</v>
      </c>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row>
    <row r="71" spans="1:32" x14ac:dyDescent="0.35">
      <c r="A71" s="3" t="s">
        <v>85</v>
      </c>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row>
    <row r="72" spans="1:32" x14ac:dyDescent="0.35">
      <c r="A72" s="20"/>
      <c r="B72" s="21"/>
      <c r="C72" s="21"/>
      <c r="D72" s="21"/>
      <c r="E72" s="21"/>
      <c r="F72" s="21"/>
      <c r="G72" s="21"/>
      <c r="H72" s="21"/>
      <c r="I72" s="21"/>
      <c r="J72" s="21"/>
      <c r="K72" s="21"/>
      <c r="L72" s="21"/>
      <c r="M72" s="21"/>
      <c r="N72" s="21"/>
      <c r="O72" s="21"/>
      <c r="P72" s="21"/>
    </row>
    <row r="73" spans="1:32" x14ac:dyDescent="0.35">
      <c r="A73" s="7" t="s">
        <v>120</v>
      </c>
      <c r="B73" s="8">
        <f>SUM(FinancingReceipts[Month 1])</f>
        <v>0</v>
      </c>
      <c r="C73" s="8">
        <f>SUM(FinancingReceipts[Month 2])</f>
        <v>0</v>
      </c>
      <c r="D73" s="8">
        <f>SUM(FinancingReceipts[Month 3])</f>
        <v>0</v>
      </c>
      <c r="E73" s="8">
        <f>SUM(FinancingReceipts[Month 4])</f>
        <v>0</v>
      </c>
      <c r="F73" s="8">
        <f>SUM(FinancingReceipts[Month 5])</f>
        <v>0</v>
      </c>
      <c r="G73" s="8">
        <f>SUM(FinancingReceipts[Month 6])</f>
        <v>0</v>
      </c>
      <c r="H73" s="8">
        <f>SUM(FinancingReceipts[Month 7])</f>
        <v>0</v>
      </c>
      <c r="I73" s="8">
        <f>SUM(FinancingReceipts[Month 8])</f>
        <v>0</v>
      </c>
      <c r="J73" s="8">
        <f>SUM(FinancingReceipts[Month 9])</f>
        <v>0</v>
      </c>
      <c r="K73" s="8">
        <f>SUM(FinancingReceipts[Month 10])</f>
        <v>0</v>
      </c>
      <c r="L73" s="8">
        <f>SUM(FinancingReceipts[Month 11])</f>
        <v>0</v>
      </c>
      <c r="M73" s="8">
        <f>SUM(FinancingReceipts[Month 12])</f>
        <v>0</v>
      </c>
      <c r="N73" s="8">
        <f>SUM(FinancingReceipts[Month 13])</f>
        <v>0</v>
      </c>
      <c r="O73" s="8">
        <f>SUM(FinancingReceipts[Month 14])</f>
        <v>0</v>
      </c>
      <c r="P73" s="8">
        <f>SUM(FinancingReceipts[Month 15])</f>
        <v>0</v>
      </c>
      <c r="Q73" s="8">
        <f>SUM(FinancingReceipts[Month 16])</f>
        <v>0</v>
      </c>
      <c r="R73" s="8">
        <f>SUM(FinancingReceipts[Month 17])</f>
        <v>0</v>
      </c>
      <c r="S73" s="8">
        <f>SUM(FinancingReceipts[Month 18])</f>
        <v>0</v>
      </c>
      <c r="T73" s="8">
        <f>SUM(FinancingReceipts[Month 19])</f>
        <v>0</v>
      </c>
      <c r="U73" s="8">
        <f>SUM(FinancingReceipts[Month 20])</f>
        <v>0</v>
      </c>
      <c r="V73" s="8">
        <f>SUM(FinancingReceipts[Month 21])</f>
        <v>0</v>
      </c>
      <c r="W73" s="8">
        <f>SUM(FinancingReceipts[Month 22])</f>
        <v>0</v>
      </c>
      <c r="X73" s="8">
        <f>SUM(FinancingReceipts[Month 23])</f>
        <v>0</v>
      </c>
      <c r="Y73" s="8">
        <f>SUM(FinancingReceipts[Month 24])</f>
        <v>0</v>
      </c>
      <c r="Z73" s="8">
        <f>SUM(FinancingReceipts[Column1])</f>
        <v>0</v>
      </c>
      <c r="AA73" s="8">
        <f>SUM(FinancingReceipts[Column2])</f>
        <v>0</v>
      </c>
      <c r="AB73" s="8">
        <f>SUM(FinancingReceipts[Column3])</f>
        <v>0</v>
      </c>
      <c r="AC73" s="8">
        <f>SUM(FinancingReceipts[Column4])</f>
        <v>0</v>
      </c>
      <c r="AD73" s="8">
        <f>SUM(FinancingReceipts[Column5])</f>
        <v>0</v>
      </c>
      <c r="AE73" s="8">
        <f>SUM(FinancingReceipts[Column6])</f>
        <v>0</v>
      </c>
      <c r="AF73" s="8">
        <f>SUM(FinancingReceipts[Column7])</f>
        <v>0</v>
      </c>
    </row>
    <row r="74" spans="1:32" x14ac:dyDescent="0.35">
      <c r="A74" s="7" t="s">
        <v>121</v>
      </c>
      <c r="B74" s="8">
        <f>SUM(FinancingPayments[Month 1])</f>
        <v>0</v>
      </c>
      <c r="C74" s="8">
        <f>SUM(FinancingPayments[Month 2])</f>
        <v>0</v>
      </c>
      <c r="D74" s="8">
        <f>SUM(FinancingPayments[Month 3])</f>
        <v>0</v>
      </c>
      <c r="E74" s="8">
        <f>SUM(FinancingPayments[Month 4])</f>
        <v>0</v>
      </c>
      <c r="F74" s="8">
        <f>SUM(FinancingPayments[Month 5])</f>
        <v>0</v>
      </c>
      <c r="G74" s="8">
        <f>SUM(FinancingPayments[Month 6])</f>
        <v>0</v>
      </c>
      <c r="H74" s="8">
        <f>SUM(FinancingPayments[Month 7])</f>
        <v>0</v>
      </c>
      <c r="I74" s="8">
        <f>SUM(FinancingPayments[Month 8])</f>
        <v>0</v>
      </c>
      <c r="J74" s="8">
        <f>SUM(FinancingPayments[Month 9])</f>
        <v>0</v>
      </c>
      <c r="K74" s="8">
        <f>SUM(FinancingPayments[Month 10])</f>
        <v>0</v>
      </c>
      <c r="L74" s="8">
        <f>SUM(FinancingPayments[Month 11])</f>
        <v>0</v>
      </c>
      <c r="M74" s="8">
        <f>SUM(FinancingPayments[Month 12])</f>
        <v>0</v>
      </c>
      <c r="N74" s="8">
        <f>SUM(FinancingPayments[Month 13])</f>
        <v>0</v>
      </c>
      <c r="O74" s="8">
        <f>SUM(FinancingPayments[Month 14])</f>
        <v>0</v>
      </c>
      <c r="P74" s="8">
        <f>SUM(FinancingPayments[Month 15])</f>
        <v>0</v>
      </c>
      <c r="Q74" s="8">
        <f>SUM(FinancingPayments[Column6])</f>
        <v>0</v>
      </c>
      <c r="R74" s="8">
        <f>SUM(FinancingPayments[Column7])</f>
        <v>0</v>
      </c>
      <c r="S74" s="8">
        <f>SUM(FinancingPayments[Column8])</f>
        <v>0</v>
      </c>
      <c r="T74" s="8">
        <f>SUM(FinancingPayments[Column9])</f>
        <v>0</v>
      </c>
      <c r="U74" s="8">
        <f>SUM(FinancingPayments[Column10])</f>
        <v>0</v>
      </c>
      <c r="V74" s="8">
        <f>SUM(FinancingPayments[Column11])</f>
        <v>0</v>
      </c>
      <c r="W74" s="8">
        <f>SUM(FinancingPayments[Column12])</f>
        <v>0</v>
      </c>
      <c r="X74" s="8">
        <f>SUM(FinancingPayments[Column13])</f>
        <v>0</v>
      </c>
      <c r="Y74" s="8">
        <f>SUM(FinancingPayments[Column14])</f>
        <v>0</v>
      </c>
      <c r="Z74" s="8">
        <f>SUM(FinancingPayments[Column1])</f>
        <v>0</v>
      </c>
      <c r="AA74" s="8">
        <f>SUM(FinancingPayments[Column2])</f>
        <v>0</v>
      </c>
      <c r="AB74" s="8">
        <f>SUM(FinancingPayments[Column3])</f>
        <v>0</v>
      </c>
      <c r="AC74" s="8">
        <f>SUM(FinancingPayments[Column4])</f>
        <v>0</v>
      </c>
      <c r="AD74" s="8">
        <f>SUM(FinancingPayments[Column5])</f>
        <v>0</v>
      </c>
      <c r="AE74" s="8">
        <f>SUM(FinancingPayments[Column52])</f>
        <v>0</v>
      </c>
      <c r="AF74" s="8">
        <f>SUM(FinancingPayments[Column53])</f>
        <v>0</v>
      </c>
    </row>
    <row r="76" spans="1:32" x14ac:dyDescent="0.35">
      <c r="A76" s="23" t="s">
        <v>122</v>
      </c>
      <c r="B76" s="24">
        <f>B73-B74</f>
        <v>0</v>
      </c>
      <c r="C76" s="24">
        <f t="shared" ref="C76:P76" si="7">C73-C74</f>
        <v>0</v>
      </c>
      <c r="D76" s="24">
        <f t="shared" si="7"/>
        <v>0</v>
      </c>
      <c r="E76" s="24">
        <f t="shared" si="7"/>
        <v>0</v>
      </c>
      <c r="F76" s="24">
        <f t="shared" si="7"/>
        <v>0</v>
      </c>
      <c r="G76" s="24">
        <f t="shared" si="7"/>
        <v>0</v>
      </c>
      <c r="H76" s="24">
        <f t="shared" si="7"/>
        <v>0</v>
      </c>
      <c r="I76" s="24">
        <f t="shared" si="7"/>
        <v>0</v>
      </c>
      <c r="J76" s="24">
        <f t="shared" si="7"/>
        <v>0</v>
      </c>
      <c r="K76" s="24">
        <f t="shared" si="7"/>
        <v>0</v>
      </c>
      <c r="L76" s="24">
        <f t="shared" si="7"/>
        <v>0</v>
      </c>
      <c r="M76" s="24">
        <f t="shared" si="7"/>
        <v>0</v>
      </c>
      <c r="N76" s="24">
        <f t="shared" si="7"/>
        <v>0</v>
      </c>
      <c r="O76" s="24">
        <f t="shared" si="7"/>
        <v>0</v>
      </c>
      <c r="P76" s="24">
        <f t="shared" si="7"/>
        <v>0</v>
      </c>
      <c r="Q76" s="24">
        <f t="shared" ref="Q76:AF76" si="8">Q73-Q74</f>
        <v>0</v>
      </c>
      <c r="R76" s="24">
        <f t="shared" si="8"/>
        <v>0</v>
      </c>
      <c r="S76" s="24">
        <f t="shared" si="8"/>
        <v>0</v>
      </c>
      <c r="T76" s="24">
        <f t="shared" si="8"/>
        <v>0</v>
      </c>
      <c r="U76" s="24">
        <f t="shared" si="8"/>
        <v>0</v>
      </c>
      <c r="V76" s="24">
        <f t="shared" si="8"/>
        <v>0</v>
      </c>
      <c r="W76" s="24">
        <f t="shared" si="8"/>
        <v>0</v>
      </c>
      <c r="X76" s="24">
        <f t="shared" si="8"/>
        <v>0</v>
      </c>
      <c r="Y76" s="24">
        <f t="shared" si="8"/>
        <v>0</v>
      </c>
      <c r="Z76" s="24">
        <f t="shared" si="8"/>
        <v>0</v>
      </c>
      <c r="AA76" s="24">
        <f t="shared" si="8"/>
        <v>0</v>
      </c>
      <c r="AB76" s="24">
        <f t="shared" si="8"/>
        <v>0</v>
      </c>
      <c r="AC76" s="24">
        <f t="shared" si="8"/>
        <v>0</v>
      </c>
      <c r="AD76" s="24">
        <f t="shared" si="8"/>
        <v>0</v>
      </c>
      <c r="AE76" s="24">
        <f t="shared" si="8"/>
        <v>0</v>
      </c>
      <c r="AF76" s="24">
        <f t="shared" si="8"/>
        <v>0</v>
      </c>
    </row>
    <row r="78" spans="1:32" x14ac:dyDescent="0.35">
      <c r="A78" s="18" t="s">
        <v>123</v>
      </c>
      <c r="B78" s="17">
        <f t="shared" ref="B78:P78" si="9">B76+B58+B41</f>
        <v>0</v>
      </c>
      <c r="C78" s="17">
        <f t="shared" si="9"/>
        <v>0</v>
      </c>
      <c r="D78" s="17">
        <f t="shared" si="9"/>
        <v>0</v>
      </c>
      <c r="E78" s="17">
        <f t="shared" si="9"/>
        <v>0</v>
      </c>
      <c r="F78" s="17">
        <f t="shared" si="9"/>
        <v>0</v>
      </c>
      <c r="G78" s="17">
        <f t="shared" si="9"/>
        <v>0</v>
      </c>
      <c r="H78" s="17">
        <f t="shared" si="9"/>
        <v>0</v>
      </c>
      <c r="I78" s="17">
        <f t="shared" si="9"/>
        <v>0</v>
      </c>
      <c r="J78" s="17">
        <f t="shared" si="9"/>
        <v>0</v>
      </c>
      <c r="K78" s="17">
        <f t="shared" si="9"/>
        <v>0</v>
      </c>
      <c r="L78" s="17">
        <f t="shared" si="9"/>
        <v>0</v>
      </c>
      <c r="M78" s="17">
        <f t="shared" si="9"/>
        <v>0</v>
      </c>
      <c r="N78" s="17">
        <f t="shared" si="9"/>
        <v>0</v>
      </c>
      <c r="O78" s="17">
        <f t="shared" si="9"/>
        <v>0</v>
      </c>
      <c r="P78" s="17">
        <f t="shared" si="9"/>
        <v>0</v>
      </c>
      <c r="Q78" s="17">
        <f t="shared" ref="Q78:AF78" si="10">Q76+Q58+Q41</f>
        <v>0</v>
      </c>
      <c r="R78" s="17">
        <f t="shared" si="10"/>
        <v>0</v>
      </c>
      <c r="S78" s="17">
        <f t="shared" si="10"/>
        <v>0</v>
      </c>
      <c r="T78" s="17">
        <f t="shared" si="10"/>
        <v>0</v>
      </c>
      <c r="U78" s="17">
        <f t="shared" si="10"/>
        <v>0</v>
      </c>
      <c r="V78" s="17">
        <f t="shared" si="10"/>
        <v>0</v>
      </c>
      <c r="W78" s="17">
        <f t="shared" si="10"/>
        <v>0</v>
      </c>
      <c r="X78" s="17">
        <f t="shared" si="10"/>
        <v>0</v>
      </c>
      <c r="Y78" s="17">
        <f t="shared" si="10"/>
        <v>0</v>
      </c>
      <c r="Z78" s="17">
        <f t="shared" si="10"/>
        <v>0</v>
      </c>
      <c r="AA78" s="17">
        <f t="shared" si="10"/>
        <v>0</v>
      </c>
      <c r="AB78" s="17">
        <f t="shared" si="10"/>
        <v>0</v>
      </c>
      <c r="AC78" s="17">
        <f t="shared" si="10"/>
        <v>0</v>
      </c>
      <c r="AD78" s="17">
        <f t="shared" si="10"/>
        <v>0</v>
      </c>
      <c r="AE78" s="17">
        <f t="shared" si="10"/>
        <v>0</v>
      </c>
      <c r="AF78" s="17">
        <f t="shared" si="10"/>
        <v>0</v>
      </c>
    </row>
    <row r="79" spans="1:32" x14ac:dyDescent="0.35">
      <c r="A79" s="20"/>
      <c r="B79" s="21"/>
      <c r="C79" s="21"/>
      <c r="D79" s="21"/>
      <c r="E79" s="21"/>
      <c r="F79" s="21"/>
      <c r="G79" s="21"/>
      <c r="H79" s="21"/>
      <c r="I79" s="21"/>
      <c r="J79" s="21"/>
      <c r="K79" s="21"/>
      <c r="L79" s="21"/>
      <c r="M79" s="21"/>
      <c r="N79" s="21"/>
      <c r="O79" s="21"/>
      <c r="P79" s="21"/>
    </row>
    <row r="80" spans="1:32" hidden="1" x14ac:dyDescent="0.35">
      <c r="A80" t="s">
        <v>42</v>
      </c>
      <c r="B80" s="26" t="s">
        <v>43</v>
      </c>
      <c r="C80" s="26" t="s">
        <v>44</v>
      </c>
      <c r="D80" s="26" t="s">
        <v>45</v>
      </c>
      <c r="E80" s="26" t="s">
        <v>46</v>
      </c>
      <c r="F80" s="26" t="s">
        <v>47</v>
      </c>
      <c r="G80" s="26" t="s">
        <v>48</v>
      </c>
      <c r="H80" s="26" t="s">
        <v>49</v>
      </c>
      <c r="I80" s="26" t="s">
        <v>50</v>
      </c>
      <c r="J80" s="26" t="s">
        <v>51</v>
      </c>
      <c r="K80" s="26" t="s">
        <v>52</v>
      </c>
      <c r="L80" s="26" t="s">
        <v>53</v>
      </c>
      <c r="M80" s="26" t="s">
        <v>54</v>
      </c>
      <c r="N80" s="26" t="s">
        <v>55</v>
      </c>
      <c r="O80" s="26" t="s">
        <v>56</v>
      </c>
      <c r="P80" s="26" t="s">
        <v>57</v>
      </c>
      <c r="Q80" s="26" t="s">
        <v>58</v>
      </c>
      <c r="R80" s="26" t="s">
        <v>59</v>
      </c>
      <c r="S80" s="26" t="s">
        <v>60</v>
      </c>
      <c r="T80" s="26" t="s">
        <v>61</v>
      </c>
      <c r="U80" s="26" t="s">
        <v>62</v>
      </c>
      <c r="V80" s="26" t="s">
        <v>63</v>
      </c>
      <c r="W80" s="26" t="s">
        <v>64</v>
      </c>
      <c r="X80" s="26" t="s">
        <v>65</v>
      </c>
      <c r="Y80" s="26" t="s">
        <v>66</v>
      </c>
      <c r="Z80" s="26" t="s">
        <v>67</v>
      </c>
      <c r="AA80" s="26" t="s">
        <v>68</v>
      </c>
      <c r="AB80" s="26" t="s">
        <v>69</v>
      </c>
      <c r="AC80" s="26" t="s">
        <v>70</v>
      </c>
      <c r="AD80" s="26" t="s">
        <v>71</v>
      </c>
      <c r="AE80" s="26" t="s">
        <v>72</v>
      </c>
      <c r="AF80" s="26" t="s">
        <v>73</v>
      </c>
    </row>
    <row r="81" spans="1:32" x14ac:dyDescent="0.35">
      <c r="A81" s="6" t="s">
        <v>124</v>
      </c>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row>
    <row r="82" spans="1:32" x14ac:dyDescent="0.35">
      <c r="A82" s="75" t="s">
        <v>125</v>
      </c>
      <c r="B82" s="77">
        <f>-B81</f>
        <v>0</v>
      </c>
      <c r="C82" s="77">
        <f t="shared" ref="C82:AF82" si="11">-C81</f>
        <v>0</v>
      </c>
      <c r="D82" s="77">
        <f t="shared" si="11"/>
        <v>0</v>
      </c>
      <c r="E82" s="77">
        <f t="shared" si="11"/>
        <v>0</v>
      </c>
      <c r="F82" s="77">
        <f t="shared" si="11"/>
        <v>0</v>
      </c>
      <c r="G82" s="77">
        <f t="shared" si="11"/>
        <v>0</v>
      </c>
      <c r="H82" s="77">
        <f t="shared" si="11"/>
        <v>0</v>
      </c>
      <c r="I82" s="77">
        <f t="shared" si="11"/>
        <v>0</v>
      </c>
      <c r="J82" s="77">
        <f t="shared" si="11"/>
        <v>0</v>
      </c>
      <c r="K82" s="77">
        <f t="shared" si="11"/>
        <v>0</v>
      </c>
      <c r="L82" s="77">
        <f t="shared" si="11"/>
        <v>0</v>
      </c>
      <c r="M82" s="77">
        <f t="shared" si="11"/>
        <v>0</v>
      </c>
      <c r="N82" s="77">
        <f t="shared" si="11"/>
        <v>0</v>
      </c>
      <c r="O82" s="77">
        <f t="shared" si="11"/>
        <v>0</v>
      </c>
      <c r="P82" s="77">
        <f t="shared" si="11"/>
        <v>0</v>
      </c>
      <c r="Q82" s="77">
        <f t="shared" si="11"/>
        <v>0</v>
      </c>
      <c r="R82" s="77">
        <f t="shared" si="11"/>
        <v>0</v>
      </c>
      <c r="S82" s="77">
        <f t="shared" si="11"/>
        <v>0</v>
      </c>
      <c r="T82" s="77">
        <f t="shared" si="11"/>
        <v>0</v>
      </c>
      <c r="U82" s="77">
        <f t="shared" si="11"/>
        <v>0</v>
      </c>
      <c r="V82" s="77">
        <f t="shared" si="11"/>
        <v>0</v>
      </c>
      <c r="W82" s="77">
        <f t="shared" si="11"/>
        <v>0</v>
      </c>
      <c r="X82" s="77">
        <f t="shared" si="11"/>
        <v>0</v>
      </c>
      <c r="Y82" s="77">
        <f t="shared" si="11"/>
        <v>0</v>
      </c>
      <c r="Z82" s="77">
        <f t="shared" si="11"/>
        <v>0</v>
      </c>
      <c r="AA82" s="77">
        <f t="shared" si="11"/>
        <v>0</v>
      </c>
      <c r="AB82" s="77">
        <f t="shared" si="11"/>
        <v>0</v>
      </c>
      <c r="AC82" s="77">
        <f t="shared" si="11"/>
        <v>0</v>
      </c>
      <c r="AD82" s="77">
        <f t="shared" si="11"/>
        <v>0</v>
      </c>
      <c r="AE82" s="77">
        <f t="shared" si="11"/>
        <v>0</v>
      </c>
      <c r="AF82" s="77">
        <f t="shared" si="11"/>
        <v>0</v>
      </c>
    </row>
    <row r="83" spans="1:32" x14ac:dyDescent="0.35">
      <c r="A83" s="4" t="s">
        <v>126</v>
      </c>
      <c r="B83" s="84"/>
      <c r="C83" s="5">
        <f>B84</f>
        <v>0</v>
      </c>
      <c r="D83" s="5">
        <f t="shared" ref="D83:J83" si="12">C84</f>
        <v>0</v>
      </c>
      <c r="E83" s="5">
        <f t="shared" si="12"/>
        <v>0</v>
      </c>
      <c r="F83" s="5">
        <f t="shared" si="12"/>
        <v>0</v>
      </c>
      <c r="G83" s="5">
        <f t="shared" si="12"/>
        <v>0</v>
      </c>
      <c r="H83" s="5">
        <f t="shared" si="12"/>
        <v>0</v>
      </c>
      <c r="I83" s="5">
        <f t="shared" si="12"/>
        <v>0</v>
      </c>
      <c r="J83" s="5">
        <f t="shared" si="12"/>
        <v>0</v>
      </c>
      <c r="K83" s="5">
        <f t="shared" ref="K83:O83" si="13">J84</f>
        <v>0</v>
      </c>
      <c r="L83" s="5">
        <f t="shared" si="13"/>
        <v>0</v>
      </c>
      <c r="M83" s="5">
        <f t="shared" si="13"/>
        <v>0</v>
      </c>
      <c r="N83" s="5">
        <f t="shared" si="13"/>
        <v>0</v>
      </c>
      <c r="O83" s="5">
        <f t="shared" si="13"/>
        <v>0</v>
      </c>
      <c r="P83" s="5">
        <f t="shared" ref="P83" si="14">O84</f>
        <v>0</v>
      </c>
      <c r="Q83" s="5">
        <f t="shared" ref="Q83" si="15">P84</f>
        <v>0</v>
      </c>
      <c r="R83" s="5">
        <f t="shared" ref="R83" si="16">Q84</f>
        <v>0</v>
      </c>
      <c r="S83" s="5">
        <f t="shared" ref="S83" si="17">R84</f>
        <v>0</v>
      </c>
      <c r="T83" s="5">
        <f t="shared" ref="T83" si="18">S84</f>
        <v>0</v>
      </c>
      <c r="U83" s="5">
        <f t="shared" ref="U83" si="19">T84</f>
        <v>0</v>
      </c>
      <c r="V83" s="5">
        <f t="shared" ref="V83" si="20">U84</f>
        <v>0</v>
      </c>
      <c r="W83" s="5">
        <f t="shared" ref="W83" si="21">V84</f>
        <v>0</v>
      </c>
      <c r="X83" s="5">
        <f t="shared" ref="X83" si="22">W84</f>
        <v>0</v>
      </c>
      <c r="Y83" s="5">
        <f t="shared" ref="Y83" si="23">X84</f>
        <v>0</v>
      </c>
      <c r="Z83" s="5">
        <f t="shared" ref="Z83" si="24">Y84</f>
        <v>0</v>
      </c>
      <c r="AA83" s="5">
        <f t="shared" ref="AA83" si="25">Z84</f>
        <v>0</v>
      </c>
      <c r="AB83" s="5">
        <f t="shared" ref="AB83" si="26">AA84</f>
        <v>0</v>
      </c>
      <c r="AC83" s="5" t="str">
        <f t="shared" ref="AC83" si="27">AB84</f>
        <v/>
      </c>
      <c r="AD83" s="5" t="str">
        <f t="shared" ref="AD83" si="28">AC84</f>
        <v/>
      </c>
      <c r="AE83" s="5" t="str">
        <f t="shared" ref="AE83" si="29">AD84</f>
        <v/>
      </c>
      <c r="AF83" s="5" t="str">
        <f t="shared" ref="AF83" si="30">AE84</f>
        <v/>
      </c>
    </row>
    <row r="84" spans="1:32" x14ac:dyDescent="0.35">
      <c r="A84" s="4" t="s">
        <v>127</v>
      </c>
      <c r="B84" s="5">
        <f>IF(AND(B10="OPTIONAL",MAX(B38,B39,B55,B73,B74)&lt;=0),"",B78+B83)</f>
        <v>0</v>
      </c>
      <c r="C84" s="5">
        <f t="shared" ref="C84:AF84" si="31">IF(AND(C10="OPTIONAL",MAX(C38,C39,C55,C73,C74)&lt;=0),"",C78+C83)</f>
        <v>0</v>
      </c>
      <c r="D84" s="5">
        <f t="shared" si="31"/>
        <v>0</v>
      </c>
      <c r="E84" s="5">
        <f t="shared" si="31"/>
        <v>0</v>
      </c>
      <c r="F84" s="5">
        <f t="shared" si="31"/>
        <v>0</v>
      </c>
      <c r="G84" s="5">
        <f t="shared" si="31"/>
        <v>0</v>
      </c>
      <c r="H84" s="5">
        <f t="shared" si="31"/>
        <v>0</v>
      </c>
      <c r="I84" s="5">
        <f t="shared" si="31"/>
        <v>0</v>
      </c>
      <c r="J84" s="5">
        <f t="shared" si="31"/>
        <v>0</v>
      </c>
      <c r="K84" s="5">
        <f t="shared" si="31"/>
        <v>0</v>
      </c>
      <c r="L84" s="5">
        <f t="shared" si="31"/>
        <v>0</v>
      </c>
      <c r="M84" s="5">
        <f>IF(AND(M10="OPTIONAL",MAX(M38,M39,M55,M73,M74)&lt;=0),"",M78+M83)</f>
        <v>0</v>
      </c>
      <c r="N84" s="5">
        <f t="shared" si="31"/>
        <v>0</v>
      </c>
      <c r="O84" s="5">
        <f t="shared" si="31"/>
        <v>0</v>
      </c>
      <c r="P84" s="5">
        <f t="shared" si="31"/>
        <v>0</v>
      </c>
      <c r="Q84" s="5">
        <f t="shared" si="31"/>
        <v>0</v>
      </c>
      <c r="R84" s="5">
        <f t="shared" si="31"/>
        <v>0</v>
      </c>
      <c r="S84" s="5">
        <f t="shared" si="31"/>
        <v>0</v>
      </c>
      <c r="T84" s="5">
        <f t="shared" si="31"/>
        <v>0</v>
      </c>
      <c r="U84" s="5">
        <f t="shared" si="31"/>
        <v>0</v>
      </c>
      <c r="V84" s="5">
        <f t="shared" si="31"/>
        <v>0</v>
      </c>
      <c r="W84" s="5">
        <f t="shared" si="31"/>
        <v>0</v>
      </c>
      <c r="X84" s="5">
        <f t="shared" si="31"/>
        <v>0</v>
      </c>
      <c r="Y84" s="5">
        <f t="shared" si="31"/>
        <v>0</v>
      </c>
      <c r="Z84" s="5">
        <f t="shared" si="31"/>
        <v>0</v>
      </c>
      <c r="AA84" s="5">
        <f t="shared" si="31"/>
        <v>0</v>
      </c>
      <c r="AB84" s="5" t="str">
        <f t="shared" si="31"/>
        <v/>
      </c>
      <c r="AC84" s="5" t="str">
        <f t="shared" si="31"/>
        <v/>
      </c>
      <c r="AD84" s="5" t="str">
        <f t="shared" si="31"/>
        <v/>
      </c>
      <c r="AE84" s="5" t="str">
        <f t="shared" si="31"/>
        <v/>
      </c>
      <c r="AF84" s="5" t="str">
        <f t="shared" si="31"/>
        <v/>
      </c>
    </row>
    <row r="85" spans="1:32" x14ac:dyDescent="0.35">
      <c r="A85" s="75" t="s">
        <v>128</v>
      </c>
      <c r="B85" s="76">
        <f>IF(AND(B10="OPTIONAL",MAX(B38,B39,B55,B56,B73,B74)&lt;=0),NA(),B78+B83)</f>
        <v>0</v>
      </c>
      <c r="C85" s="76">
        <f t="shared" ref="C85:AF85" si="32">IF(AND(C10="OPTIONAL",MAX(C38,C39,C55,C56,C73,C74)&lt;=0),NA(),C78+C83)</f>
        <v>0</v>
      </c>
      <c r="D85" s="76">
        <f t="shared" si="32"/>
        <v>0</v>
      </c>
      <c r="E85" s="76">
        <f t="shared" si="32"/>
        <v>0</v>
      </c>
      <c r="F85" s="76">
        <f t="shared" si="32"/>
        <v>0</v>
      </c>
      <c r="G85" s="76">
        <f t="shared" si="32"/>
        <v>0</v>
      </c>
      <c r="H85" s="76">
        <f t="shared" si="32"/>
        <v>0</v>
      </c>
      <c r="I85" s="76">
        <f t="shared" si="32"/>
        <v>0</v>
      </c>
      <c r="J85" s="76">
        <f t="shared" si="32"/>
        <v>0</v>
      </c>
      <c r="K85" s="76">
        <f t="shared" si="32"/>
        <v>0</v>
      </c>
      <c r="L85" s="76">
        <f t="shared" si="32"/>
        <v>0</v>
      </c>
      <c r="M85" s="76">
        <f t="shared" si="32"/>
        <v>0</v>
      </c>
      <c r="N85" s="76">
        <f t="shared" si="32"/>
        <v>0</v>
      </c>
      <c r="O85" s="76">
        <f t="shared" si="32"/>
        <v>0</v>
      </c>
      <c r="P85" s="76">
        <f t="shared" si="32"/>
        <v>0</v>
      </c>
      <c r="Q85" s="76">
        <f t="shared" si="32"/>
        <v>0</v>
      </c>
      <c r="R85" s="76">
        <f t="shared" si="32"/>
        <v>0</v>
      </c>
      <c r="S85" s="76">
        <f t="shared" si="32"/>
        <v>0</v>
      </c>
      <c r="T85" s="76">
        <f t="shared" si="32"/>
        <v>0</v>
      </c>
      <c r="U85" s="76">
        <f t="shared" si="32"/>
        <v>0</v>
      </c>
      <c r="V85" s="76">
        <f t="shared" si="32"/>
        <v>0</v>
      </c>
      <c r="W85" s="76">
        <f t="shared" si="32"/>
        <v>0</v>
      </c>
      <c r="X85" s="76">
        <f t="shared" si="32"/>
        <v>0</v>
      </c>
      <c r="Y85" s="76">
        <f t="shared" si="32"/>
        <v>0</v>
      </c>
      <c r="Z85" s="76">
        <f t="shared" si="32"/>
        <v>0</v>
      </c>
      <c r="AA85" s="76">
        <f t="shared" si="32"/>
        <v>0</v>
      </c>
      <c r="AB85" s="76" t="e">
        <f t="shared" si="32"/>
        <v>#N/A</v>
      </c>
      <c r="AC85" s="76" t="e">
        <f t="shared" si="32"/>
        <v>#N/A</v>
      </c>
      <c r="AD85" s="76" t="e">
        <f t="shared" si="32"/>
        <v>#N/A</v>
      </c>
      <c r="AE85" s="76" t="e">
        <f t="shared" si="32"/>
        <v>#N/A</v>
      </c>
      <c r="AF85" s="76" t="e">
        <f t="shared" si="32"/>
        <v>#N/A</v>
      </c>
    </row>
    <row r="86" spans="1:32" x14ac:dyDescent="0.35">
      <c r="A86" s="19" t="s">
        <v>129</v>
      </c>
      <c r="B86" s="5" t="e">
        <f ca="1">IF(AND(B10="OPTIONAL",MAX(B38,B39,B55,B56,B73,B74)&lt;=0),"",IF(B$84&gt;B$88-$AF$88,"+",IFERROR(IF(B$84&lt;0,0,30*((B$89)+(B$84-B$88+OFFSET(B$88,0,B$89))/OFFSET(C$39,0,B$89))),NA())))</f>
        <v>#N/A</v>
      </c>
      <c r="C86" s="5" t="e">
        <f t="shared" ref="C86:AF86" ca="1" si="33">IF(AND(C10="OPTIONAL",MAX(C38,C39,C55,C56,C73,C74)&lt;=0),"",IF(C$84&gt;C$88-$AF$88,"+",IFERROR(IF(C$84&lt;0,0,30*((C$89)+(C$84-C$88+OFFSET(C$88,0,C$89))/OFFSET(D$39,0,C$89))),NA())))</f>
        <v>#N/A</v>
      </c>
      <c r="D86" s="5" t="e">
        <f t="shared" ca="1" si="33"/>
        <v>#N/A</v>
      </c>
      <c r="E86" s="5" t="e">
        <f t="shared" ca="1" si="33"/>
        <v>#N/A</v>
      </c>
      <c r="F86" s="5" t="e">
        <f t="shared" ca="1" si="33"/>
        <v>#N/A</v>
      </c>
      <c r="G86" s="5" t="e">
        <f t="shared" ca="1" si="33"/>
        <v>#N/A</v>
      </c>
      <c r="H86" s="5" t="e">
        <f t="shared" ca="1" si="33"/>
        <v>#N/A</v>
      </c>
      <c r="I86" s="5" t="e">
        <f t="shared" ca="1" si="33"/>
        <v>#N/A</v>
      </c>
      <c r="J86" s="5" t="e">
        <f t="shared" ca="1" si="33"/>
        <v>#N/A</v>
      </c>
      <c r="K86" s="5" t="e">
        <f t="shared" ca="1" si="33"/>
        <v>#N/A</v>
      </c>
      <c r="L86" s="5" t="e">
        <f t="shared" ca="1" si="33"/>
        <v>#N/A</v>
      </c>
      <c r="M86" s="5" t="e">
        <f t="shared" ca="1" si="33"/>
        <v>#N/A</v>
      </c>
      <c r="N86" s="5" t="e">
        <f t="shared" ca="1" si="33"/>
        <v>#N/A</v>
      </c>
      <c r="O86" s="5" t="e">
        <f t="shared" ca="1" si="33"/>
        <v>#N/A</v>
      </c>
      <c r="P86" s="5" t="e">
        <f t="shared" ca="1" si="33"/>
        <v>#N/A</v>
      </c>
      <c r="Q86" s="5" t="e">
        <f t="shared" ca="1" si="33"/>
        <v>#N/A</v>
      </c>
      <c r="R86" s="5" t="e">
        <f t="shared" ca="1" si="33"/>
        <v>#N/A</v>
      </c>
      <c r="S86" s="5" t="e">
        <f t="shared" ca="1" si="33"/>
        <v>#N/A</v>
      </c>
      <c r="T86" s="5" t="e">
        <f t="shared" ca="1" si="33"/>
        <v>#N/A</v>
      </c>
      <c r="U86" s="5" t="e">
        <f t="shared" ca="1" si="33"/>
        <v>#N/A</v>
      </c>
      <c r="V86" s="5" t="e">
        <f t="shared" ca="1" si="33"/>
        <v>#N/A</v>
      </c>
      <c r="W86" s="5" t="e">
        <f t="shared" ca="1" si="33"/>
        <v>#N/A</v>
      </c>
      <c r="X86" s="5" t="e">
        <f t="shared" ca="1" si="33"/>
        <v>#N/A</v>
      </c>
      <c r="Y86" s="5" t="e">
        <f t="shared" ca="1" si="33"/>
        <v>#N/A</v>
      </c>
      <c r="Z86" s="5" t="e">
        <f t="shared" ca="1" si="33"/>
        <v>#N/A</v>
      </c>
      <c r="AA86" s="5" t="e">
        <f t="shared" ca="1" si="33"/>
        <v>#N/A</v>
      </c>
      <c r="AB86" s="5" t="str">
        <f t="shared" ca="1" si="33"/>
        <v/>
      </c>
      <c r="AC86" s="5" t="str">
        <f t="shared" ca="1" si="33"/>
        <v/>
      </c>
      <c r="AD86" s="5" t="str">
        <f t="shared" ca="1" si="33"/>
        <v/>
      </c>
      <c r="AE86" s="5" t="str">
        <f t="shared" ca="1" si="33"/>
        <v/>
      </c>
      <c r="AF86" s="5" t="str">
        <f t="shared" ca="1" si="33"/>
        <v/>
      </c>
    </row>
    <row r="87" spans="1:32" x14ac:dyDescent="0.35">
      <c r="A87" s="75" t="s">
        <v>130</v>
      </c>
      <c r="B87" s="78">
        <v>25</v>
      </c>
      <c r="C87" s="78">
        <v>25</v>
      </c>
      <c r="D87" s="78">
        <v>25</v>
      </c>
      <c r="E87" s="78">
        <v>25</v>
      </c>
      <c r="F87" s="78">
        <v>25</v>
      </c>
      <c r="G87" s="78">
        <v>25</v>
      </c>
      <c r="H87" s="78">
        <v>25</v>
      </c>
      <c r="I87" s="78">
        <v>25</v>
      </c>
      <c r="J87" s="78">
        <v>25</v>
      </c>
      <c r="K87" s="78">
        <v>25</v>
      </c>
      <c r="L87" s="78">
        <v>25</v>
      </c>
      <c r="M87" s="78">
        <v>25</v>
      </c>
      <c r="N87" s="78">
        <v>25</v>
      </c>
      <c r="O87" s="78">
        <v>25</v>
      </c>
      <c r="P87" s="78">
        <v>25</v>
      </c>
      <c r="Q87" s="78">
        <v>25</v>
      </c>
      <c r="R87" s="78">
        <v>25</v>
      </c>
      <c r="S87" s="78">
        <v>25</v>
      </c>
      <c r="T87" s="78">
        <v>25</v>
      </c>
      <c r="U87" s="78">
        <v>25</v>
      </c>
      <c r="V87" s="78">
        <v>25</v>
      </c>
      <c r="W87" s="78">
        <v>25</v>
      </c>
      <c r="X87" s="78">
        <v>25</v>
      </c>
      <c r="Y87" s="78">
        <v>25</v>
      </c>
      <c r="Z87" s="78">
        <v>25</v>
      </c>
      <c r="AA87" s="78">
        <v>25</v>
      </c>
      <c r="AB87" s="78">
        <v>25</v>
      </c>
      <c r="AC87" s="78">
        <v>25</v>
      </c>
      <c r="AD87" s="78">
        <v>25</v>
      </c>
      <c r="AE87" s="78">
        <v>25</v>
      </c>
      <c r="AF87" s="78">
        <v>25</v>
      </c>
    </row>
    <row r="88" spans="1:32" x14ac:dyDescent="0.35">
      <c r="A88" s="14" t="s">
        <v>131</v>
      </c>
      <c r="B88" s="22">
        <f>-SUM($B$39:B39)</f>
        <v>0</v>
      </c>
      <c r="C88" s="22">
        <f>-SUM($B$39:C39)</f>
        <v>0</v>
      </c>
      <c r="D88" s="22">
        <f>-SUM($B$39:D39)</f>
        <v>0</v>
      </c>
      <c r="E88" s="22">
        <f>-SUM($B$39:E39)</f>
        <v>0</v>
      </c>
      <c r="F88" s="22">
        <f>-SUM($B$39:F39)</f>
        <v>0</v>
      </c>
      <c r="G88" s="22">
        <f>-SUM($B$39:G39)</f>
        <v>0</v>
      </c>
      <c r="H88" s="22">
        <f>-SUM($B$39:H39)</f>
        <v>0</v>
      </c>
      <c r="I88" s="22">
        <f>-SUM($B$39:I39)</f>
        <v>0</v>
      </c>
      <c r="J88" s="22">
        <f>-SUM($B$39:J39)</f>
        <v>0</v>
      </c>
      <c r="K88" s="22">
        <f>-SUM($B$39:K39)</f>
        <v>0</v>
      </c>
      <c r="L88" s="22">
        <f>-SUM($B$39:L39)</f>
        <v>0</v>
      </c>
      <c r="M88" s="22">
        <f>-SUM($B$39:M39)</f>
        <v>0</v>
      </c>
      <c r="N88" s="22">
        <f>-SUM($B$39:N39)</f>
        <v>0</v>
      </c>
      <c r="O88" s="22">
        <f>-SUM($B$39:O39)</f>
        <v>0</v>
      </c>
      <c r="P88" s="22">
        <f>-SUM($B$39:P39)</f>
        <v>0</v>
      </c>
      <c r="Q88" s="22">
        <f>-SUM($B$39:Q39)</f>
        <v>0</v>
      </c>
      <c r="R88" s="22">
        <f>-SUM($B$39:R39)</f>
        <v>0</v>
      </c>
      <c r="S88" s="22">
        <f>-SUM($B$39:S39)</f>
        <v>0</v>
      </c>
      <c r="T88" s="22">
        <f>-SUM($B$39:T39)</f>
        <v>0</v>
      </c>
      <c r="U88" s="22">
        <f>-SUM($B$39:U39)</f>
        <v>0</v>
      </c>
      <c r="V88" s="22">
        <f>-SUM($B$39:V39)</f>
        <v>0</v>
      </c>
      <c r="W88" s="22">
        <f>-SUM($B$39:W39)</f>
        <v>0</v>
      </c>
      <c r="X88" s="22">
        <f>-SUM($B$39:X39)</f>
        <v>0</v>
      </c>
      <c r="Y88" s="22">
        <f>-SUM($B$39:Y39)</f>
        <v>0</v>
      </c>
      <c r="Z88" s="22">
        <f>-SUM($B$39:Z39)</f>
        <v>0</v>
      </c>
      <c r="AA88" s="22">
        <f>-SUM($B$39:AA39)</f>
        <v>0</v>
      </c>
      <c r="AB88" s="22">
        <f>-SUM($B$39:AB39)</f>
        <v>0</v>
      </c>
      <c r="AC88" s="22">
        <f>-SUM($B$39:AC39)</f>
        <v>0</v>
      </c>
      <c r="AD88" s="22">
        <f>-SUM($B$39:AD39)</f>
        <v>0</v>
      </c>
      <c r="AE88" s="22">
        <f>-SUM($B$39:AE39)</f>
        <v>0</v>
      </c>
      <c r="AF88" s="22">
        <f>-SUM($B$39:AF39)</f>
        <v>0</v>
      </c>
    </row>
    <row r="89" spans="1:32" x14ac:dyDescent="0.35">
      <c r="A89" t="s">
        <v>132</v>
      </c>
      <c r="B89" s="22">
        <f>IF(AND(B10="OPTIONAL",MAX(B38,B39,B55,B56,B73,B74)&lt;=0),"",IF(B$84&gt;=B$88-$AF$88,COUNT(B$88:$AF$88)-1,IFERROR(MATCH(B$88-B$84,B$88:$AF$88,-1)-1,0)))</f>
        <v>30</v>
      </c>
      <c r="C89" s="22">
        <f>IF(AND(C10="OPTIONAL",MAX(C38,C39,C55,C56,C73,C74)&lt;=0),"",IF(C$84&gt;=C$88-$AF$88,COUNT(C$88:$AF$88)-1,IFERROR(MATCH(C$88-C$84,C$88:$AF$88,-1)-1,0)))</f>
        <v>29</v>
      </c>
      <c r="D89" s="22">
        <f>IF(AND(D10="OPTIONAL",MAX(D38,D39,D55,D56,D73,D74)&lt;=0),"",IF(D$84&gt;=D$88-$AF$88,COUNT(D$88:$AF$88)-1,IFERROR(MATCH(D$88-D$84,D$88:$AF$88,-1)-1,0)))</f>
        <v>28</v>
      </c>
      <c r="E89" s="22">
        <f>IF(AND(E10="OPTIONAL",MAX(E38,E39,E55,E56,E73,E74)&lt;=0),"",IF(E$84&gt;=E$88-$AF$88,COUNT(E$88:$AF$88)-1,IFERROR(MATCH(E$88-E$84,E$88:$AF$88,-1)-1,0)))</f>
        <v>27</v>
      </c>
      <c r="F89" s="22">
        <f>IF(AND(F10="OPTIONAL",MAX(F38,F39,F55,F56,F73,F74)&lt;=0),"",IF(F$84&gt;=F$88-$AF$88,COUNT(F$88:$AF$88)-1,IFERROR(MATCH(F$88-F$84,F$88:$AF$88,-1)-1,0)))</f>
        <v>26</v>
      </c>
      <c r="G89" s="22">
        <f>IF(AND(G10="OPTIONAL",MAX(G38,G39,G55,G56,G73,G74)&lt;=0),"",IF(G$84&gt;=G$88-$AF$88,COUNT(G$88:$AF$88)-1,IFERROR(MATCH(G$88-G$84,G$88:$AF$88,-1)-1,0)))</f>
        <v>25</v>
      </c>
      <c r="H89" s="22">
        <f>IF(AND(H10="OPTIONAL",MAX(H38,H39,H55,H56,H73,H74)&lt;=0),"",IF(H$84&gt;=H$88-$AF$88,COUNT(H$88:$AF$88)-1,IFERROR(MATCH(H$88-H$84,H$88:$AF$88,-1)-1,0)))</f>
        <v>24</v>
      </c>
      <c r="I89" s="22">
        <f>IF(AND(I10="OPTIONAL",MAX(I38,I39,I55,I56,I73,I74)&lt;=0),"",IF(I$84&gt;=I$88-$AF$88,COUNT(I$88:$AF$88)-1,IFERROR(MATCH(I$88-I$84,I$88:$AF$88,-1)-1,0)))</f>
        <v>23</v>
      </c>
      <c r="J89" s="22">
        <f>IF(AND(J10="OPTIONAL",MAX(J38,J39,J55,J56,J73,J74)&lt;=0),"",IF(J$84&gt;=J$88-$AF$88,COUNT(J$88:$AF$88)-1,IFERROR(MATCH(J$88-J$84,J$88:$AF$88,-1)-1,0)))</f>
        <v>22</v>
      </c>
      <c r="K89" s="22">
        <f>IF(AND(K10="OPTIONAL",MAX(K38,K39,K55,K56,K73,K74)&lt;=0),"",IF(K$84&gt;=K$88-$AF$88,COUNT(K$88:$AF$88)-1,IFERROR(MATCH(K$88-K$84,K$88:$AF$88,-1)-1,0)))</f>
        <v>21</v>
      </c>
      <c r="L89" s="22">
        <f>IF(AND(L10="OPTIONAL",MAX(L38,L39,L55,L56,L73,L74)&lt;=0),"",IF(L$84&gt;=L$88-$AF$88,COUNT(L$88:$AF$88)-1,IFERROR(MATCH(L$88-L$84,L$88:$AF$88,-1)-1,0)))</f>
        <v>20</v>
      </c>
      <c r="M89" s="22">
        <f>IF(AND(M10="OPTIONAL",MAX(M38,M39,M55,M56,M73,M74)&lt;=0),"",IF(M$84&gt;=M$88-$AF$88,COUNT(M$88:$AF$88)-1,IFERROR(MATCH(M$88-M$84,M$88:$AF$88,-1)-1,0)))</f>
        <v>19</v>
      </c>
      <c r="N89" s="22">
        <f>IF(AND(N10="OPTIONAL",MAX(N38,N39,N55,N56,N73,N74)&lt;=0),"",IF(N$84&gt;=N$88-$AF$88,COUNT(N$88:$AF$88)-1,IFERROR(MATCH(N$88-N$84,N$88:$AF$88,-1)-1,0)))</f>
        <v>18</v>
      </c>
      <c r="O89" s="22">
        <f>IF(AND(O10="OPTIONAL",MAX(O38,O39,O55,O56,O73,O74)&lt;=0),"",IF(O$84&gt;=O$88-$AF$88,COUNT(O$88:$AF$88)-1,IFERROR(MATCH(O$88-O$84,O$88:$AF$88,-1)-1,0)))</f>
        <v>17</v>
      </c>
      <c r="P89" s="22">
        <f>IF(AND(P10="OPTIONAL",MAX(P38,P39,P55,P56,P73,P74)&lt;=0),"",IF(P$84&gt;=P$88-$AF$88,COUNT(P$88:$AF$88)-1,IFERROR(MATCH(P$88-P$84,P$88:$AF$88,-1)-1,0)))</f>
        <v>16</v>
      </c>
      <c r="Q89" s="22">
        <f>IF(AND(Q10="OPTIONAL",MAX(Q38,Q39,Q55,Q56,Q73,Q74)&lt;=0),"",IF(Q$84&gt;=Q$88-$AF$88,COUNT(Q$88:$AF$88)-1,IFERROR(MATCH(Q$88-Q$84,Q$88:$AF$88,-1)-1,0)))</f>
        <v>15</v>
      </c>
      <c r="R89" s="22">
        <f>IF(AND(R10="OPTIONAL",MAX(R38,R39,R55,R56,R73,R74)&lt;=0),"",IF(R$84&gt;=R$88-$AF$88,COUNT(R$88:$AF$88)-1,IFERROR(MATCH(R$88-R$84,R$88:$AF$88,-1)-1,0)))</f>
        <v>14</v>
      </c>
      <c r="S89" s="22">
        <f>IF(AND(S10="OPTIONAL",MAX(S38,S39,S55,S56,S73,S74)&lt;=0),"",IF(S$84&gt;=S$88-$AF$88,COUNT(S$88:$AF$88)-1,IFERROR(MATCH(S$88-S$84,S$88:$AF$88,-1)-1,0)))</f>
        <v>13</v>
      </c>
      <c r="T89" s="22">
        <f>IF(AND(T10="OPTIONAL",MAX(T38,T39,T55,T56,T73,T74)&lt;=0),"",IF(T$84&gt;=T$88-$AF$88,COUNT(T$88:$AF$88)-1,IFERROR(MATCH(T$88-T$84,T$88:$AF$88,-1)-1,0)))</f>
        <v>12</v>
      </c>
      <c r="U89" s="22">
        <f>IF(AND(U10="OPTIONAL",MAX(U38,U39,U55,U56,U73,U74)&lt;=0),"",IF(U$84&gt;=U$88-$AF$88,COUNT(U$88:$AF$88)-1,IFERROR(MATCH(U$88-U$84,U$88:$AF$88,-1)-1,0)))</f>
        <v>11</v>
      </c>
      <c r="V89" s="22">
        <f>IF(AND(V10="OPTIONAL",MAX(V38,V39,V55,V56,V73,V74)&lt;=0),"",IF(V$84&gt;=V$88-$AF$88,COUNT(V$88:$AF$88)-1,IFERROR(MATCH(V$88-V$84,V$88:$AF$88,-1)-1,0)))</f>
        <v>10</v>
      </c>
      <c r="W89" s="22">
        <f>IF(AND(W10="OPTIONAL",MAX(W38,W39,W55,W56,W73,W74)&lt;=0),"",IF(W$84&gt;=W$88-$AF$88,COUNT(W$88:$AF$88)-1,IFERROR(MATCH(W$88-W$84,W$88:$AF$88,-1)-1,0)))</f>
        <v>9</v>
      </c>
      <c r="X89" s="22">
        <f>IF(AND(X10="OPTIONAL",MAX(X38,X39,X55,X56,X73,X74)&lt;=0),"",IF(X$84&gt;=X$88-$AF$88,COUNT(X$88:$AF$88)-1,IFERROR(MATCH(X$88-X$84,X$88:$AF$88,-1)-1,0)))</f>
        <v>8</v>
      </c>
      <c r="Y89" s="22">
        <f>IF(AND(Y10="OPTIONAL",MAX(Y38,Y39,Y55,Y56,Y73,Y74)&lt;=0),"",IF(Y$84&gt;=Y$88-$AF$88,COUNT(Y$88:$AF$88)-1,IFERROR(MATCH(Y$88-Y$84,Y$88:$AF$88,-1)-1,0)))</f>
        <v>7</v>
      </c>
      <c r="Z89" s="22">
        <f>IF(AND(Z10="OPTIONAL",MAX(Z38,Z39,Z55,Z56,Z73,Z74)&lt;=0),"",IF(Z$84&gt;=Z$88-$AF$88,COUNT(Z$88:$AF$88)-1,IFERROR(MATCH(Z$88-Z$84,Z$88:$AF$88,-1)-1,0)))</f>
        <v>6</v>
      </c>
      <c r="AA89" s="22">
        <f>IF(AND(AA10="OPTIONAL",MAX(AA38,AA39,AA55,AA56,AA73,AA74)&lt;=0),"",IF(AA$84&gt;=AA$88-$AF$88,COUNT(AA$88:$AF$88)-1,IFERROR(MATCH(AA$88-AA$84,AA$88:$AF$88,-1)-1,0)))</f>
        <v>5</v>
      </c>
      <c r="AB89" s="22" t="str">
        <f>IF(AND(AB10="OPTIONAL",MAX(AB38,AB39,AB55,AB56,AB73,AB74)&lt;=0),"",IF(AB$84&gt;=AB$88-$AF$88,COUNT(AB$88:$AF$88)-1,IFERROR(MATCH(AB$88-AB$84,AB$88:$AF$88,-1)-1,0)))</f>
        <v/>
      </c>
      <c r="AC89" s="22" t="str">
        <f>IF(AND(AC10="OPTIONAL",MAX(AC38,AC39,AC55,AC56,AC73,AC74)&lt;=0),"",IF(AC$84&gt;=AC$88-$AF$88,COUNT(AC$88:$AF$88)-1,IFERROR(MATCH(AC$88-AC$84,AC$88:$AF$88,-1)-1,0)))</f>
        <v/>
      </c>
      <c r="AD89" s="22" t="str">
        <f>IF(AND(AD10="OPTIONAL",MAX(AD38,AD39,AD55,AD56,AD73,AD74)&lt;=0),"",IF(AD$84&gt;=AD$88-$AF$88,COUNT(AD$88:$AF$88)-1,IFERROR(MATCH(AD$88-AD$84,AD$88:$AF$88,-1)-1,0)))</f>
        <v/>
      </c>
      <c r="AE89" s="22" t="str">
        <f>IF(AND(AE10="OPTIONAL",MAX(AE38,AE39,AE55,AE56,AE73,AE74)&lt;=0),"",IF(AE$84&gt;=AE$88-$AF$88,COUNT(AE$88:$AF$88)-1,IFERROR(MATCH(AE$88-AE$84,AE$88:$AF$88,-1)-1,0)))</f>
        <v/>
      </c>
      <c r="AF89" s="22" t="str">
        <f>IF(AND(AF10="OPTIONAL",MAX(AF38,AF39,AF55,AF56,AF73,AF74)&lt;=0),"",IF(AF$84&gt;=AF$88-$AF$88,COUNT(AF$88:$AF$88)-1,IFERROR(MATCH(AF$88-AF$84,AF$88:$AF$88,-1)-1,0)))</f>
        <v/>
      </c>
    </row>
    <row r="91" spans="1:32" x14ac:dyDescent="0.35">
      <c r="A91" s="19" t="s">
        <v>133</v>
      </c>
      <c r="B91" s="5" t="str">
        <f ca="1">IF(AND(B10="OPTIONAL",MAX(B38,B39,B55,B56,B73,B74)&lt;=0),"",IF(B$95&gt;COLUMN($AF$91)-COLUMN(B$91),"+",IFERROR(IF(B$83&lt;0,0,30*(B$95-(B$83+IF(B$95&gt;0,OFFSET(B$94,0,B$95-1)-B$94+B$93,0))/OFFSET(B$93,0,B$95))),NA())))</f>
        <v>+</v>
      </c>
      <c r="C91" s="5" t="str">
        <f t="shared" ref="C91:AF91" ca="1" si="34">IF(AND(C10="OPTIONAL",MAX(C38,C39,C55,C56,C73,C74)&lt;=0),"",IF(C$95&gt;COLUMN($AF$91)-COLUMN(C$91),"+",IFERROR(IF(C$83&lt;0,0,30*(C$95-(C$83+IF(C$95&gt;0,OFFSET(C$94,0,C$95-1)-C$94+C$93,0))/OFFSET(C$93,0,C$95))),NA())))</f>
        <v>+</v>
      </c>
      <c r="D91" s="5" t="str">
        <f t="shared" ca="1" si="34"/>
        <v>+</v>
      </c>
      <c r="E91" s="5" t="str">
        <f t="shared" ca="1" si="34"/>
        <v>+</v>
      </c>
      <c r="F91" s="5" t="str">
        <f t="shared" ca="1" si="34"/>
        <v>+</v>
      </c>
      <c r="G91" s="5" t="str">
        <f t="shared" ca="1" si="34"/>
        <v>+</v>
      </c>
      <c r="H91" s="5" t="str">
        <f t="shared" ca="1" si="34"/>
        <v>+</v>
      </c>
      <c r="I91" s="5" t="str">
        <f t="shared" ca="1" si="34"/>
        <v>+</v>
      </c>
      <c r="J91" s="5" t="str">
        <f t="shared" ca="1" si="34"/>
        <v>+</v>
      </c>
      <c r="K91" s="5" t="str">
        <f t="shared" ca="1" si="34"/>
        <v>+</v>
      </c>
      <c r="L91" s="5" t="str">
        <f t="shared" ca="1" si="34"/>
        <v>+</v>
      </c>
      <c r="M91" s="5" t="str">
        <f t="shared" ca="1" si="34"/>
        <v>+</v>
      </c>
      <c r="N91" s="5" t="str">
        <f t="shared" ca="1" si="34"/>
        <v>+</v>
      </c>
      <c r="O91" s="5" t="str">
        <f t="shared" ca="1" si="34"/>
        <v>+</v>
      </c>
      <c r="P91" s="5" t="str">
        <f t="shared" ca="1" si="34"/>
        <v>+</v>
      </c>
      <c r="Q91" s="5" t="str">
        <f t="shared" ca="1" si="34"/>
        <v>+</v>
      </c>
      <c r="R91" s="5" t="str">
        <f t="shared" ca="1" si="34"/>
        <v>+</v>
      </c>
      <c r="S91" s="5" t="str">
        <f t="shared" ca="1" si="34"/>
        <v>+</v>
      </c>
      <c r="T91" s="5" t="str">
        <f t="shared" ca="1" si="34"/>
        <v>+</v>
      </c>
      <c r="U91" s="5" t="str">
        <f t="shared" ca="1" si="34"/>
        <v>+</v>
      </c>
      <c r="V91" s="5" t="str">
        <f t="shared" ca="1" si="34"/>
        <v>+</v>
      </c>
      <c r="W91" s="5" t="str">
        <f t="shared" ca="1" si="34"/>
        <v>+</v>
      </c>
      <c r="X91" s="5" t="str">
        <f t="shared" ca="1" si="34"/>
        <v>+</v>
      </c>
      <c r="Y91" s="5" t="str">
        <f t="shared" ca="1" si="34"/>
        <v>+</v>
      </c>
      <c r="Z91" s="5" t="str">
        <f t="shared" ca="1" si="34"/>
        <v>+</v>
      </c>
      <c r="AA91" s="5" t="str">
        <f t="shared" ca="1" si="34"/>
        <v>+</v>
      </c>
      <c r="AB91" s="5" t="str">
        <f t="shared" ca="1" si="34"/>
        <v/>
      </c>
      <c r="AC91" s="5" t="str">
        <f t="shared" ca="1" si="34"/>
        <v/>
      </c>
      <c r="AD91" s="5" t="str">
        <f t="shared" ca="1" si="34"/>
        <v/>
      </c>
      <c r="AE91" s="5" t="str">
        <f t="shared" ca="1" si="34"/>
        <v/>
      </c>
      <c r="AF91" s="5" t="str">
        <f t="shared" ca="1" si="34"/>
        <v/>
      </c>
    </row>
    <row r="92" spans="1:32" x14ac:dyDescent="0.35">
      <c r="A92" s="75" t="s">
        <v>134</v>
      </c>
      <c r="B92" s="81" t="e">
        <f ca="1">IF(AND(B10="OPTIONAL",MAX(B38,B39,B55,B56,B73,B74)&lt;=0),NA(),IF(B91="+",NA(),B91))</f>
        <v>#N/A</v>
      </c>
      <c r="C92" s="81" t="e">
        <f t="shared" ref="C92:AF92" ca="1" si="35">IF(AND(C10="OPTIONAL",MAX(C38,C39,C55,C56,C73,C74)&lt;=0),NA(),IF(C91="+",NA(),C91))</f>
        <v>#N/A</v>
      </c>
      <c r="D92" s="81" t="e">
        <f t="shared" ca="1" si="35"/>
        <v>#N/A</v>
      </c>
      <c r="E92" s="81" t="e">
        <f t="shared" ca="1" si="35"/>
        <v>#N/A</v>
      </c>
      <c r="F92" s="81" t="e">
        <f t="shared" ca="1" si="35"/>
        <v>#N/A</v>
      </c>
      <c r="G92" s="81" t="e">
        <f t="shared" ca="1" si="35"/>
        <v>#N/A</v>
      </c>
      <c r="H92" s="81" t="e">
        <f t="shared" ca="1" si="35"/>
        <v>#N/A</v>
      </c>
      <c r="I92" s="81" t="e">
        <f t="shared" ca="1" si="35"/>
        <v>#N/A</v>
      </c>
      <c r="J92" s="81" t="e">
        <f t="shared" ca="1" si="35"/>
        <v>#N/A</v>
      </c>
      <c r="K92" s="81" t="e">
        <f t="shared" ca="1" si="35"/>
        <v>#N/A</v>
      </c>
      <c r="L92" s="81" t="e">
        <f t="shared" ca="1" si="35"/>
        <v>#N/A</v>
      </c>
      <c r="M92" s="81" t="e">
        <f t="shared" ca="1" si="35"/>
        <v>#N/A</v>
      </c>
      <c r="N92" s="81" t="e">
        <f t="shared" ca="1" si="35"/>
        <v>#N/A</v>
      </c>
      <c r="O92" s="81" t="e">
        <f t="shared" ca="1" si="35"/>
        <v>#N/A</v>
      </c>
      <c r="P92" s="81" t="e">
        <f t="shared" ca="1" si="35"/>
        <v>#N/A</v>
      </c>
      <c r="Q92" s="81" t="e">
        <f t="shared" ca="1" si="35"/>
        <v>#N/A</v>
      </c>
      <c r="R92" s="81" t="e">
        <f t="shared" ca="1" si="35"/>
        <v>#N/A</v>
      </c>
      <c r="S92" s="81" t="e">
        <f t="shared" ca="1" si="35"/>
        <v>#N/A</v>
      </c>
      <c r="T92" s="81" t="e">
        <f t="shared" ca="1" si="35"/>
        <v>#N/A</v>
      </c>
      <c r="U92" s="81" t="e">
        <f t="shared" ca="1" si="35"/>
        <v>#N/A</v>
      </c>
      <c r="V92" s="81" t="e">
        <f t="shared" ca="1" si="35"/>
        <v>#N/A</v>
      </c>
      <c r="W92" s="81" t="e">
        <f t="shared" ca="1" si="35"/>
        <v>#N/A</v>
      </c>
      <c r="X92" s="81" t="e">
        <f t="shared" ca="1" si="35"/>
        <v>#N/A</v>
      </c>
      <c r="Y92" s="81" t="e">
        <f t="shared" ca="1" si="35"/>
        <v>#N/A</v>
      </c>
      <c r="Z92" s="81" t="e">
        <f t="shared" ca="1" si="35"/>
        <v>#N/A</v>
      </c>
      <c r="AA92" s="81" t="e">
        <f t="shared" ca="1" si="35"/>
        <v>#N/A</v>
      </c>
      <c r="AB92" s="81" t="e">
        <f t="shared" si="35"/>
        <v>#N/A</v>
      </c>
      <c r="AC92" s="81" t="e">
        <f t="shared" si="35"/>
        <v>#N/A</v>
      </c>
      <c r="AD92" s="81" t="e">
        <f t="shared" si="35"/>
        <v>#N/A</v>
      </c>
      <c r="AE92" s="81" t="e">
        <f t="shared" si="35"/>
        <v>#N/A</v>
      </c>
      <c r="AF92" s="81" t="e">
        <f t="shared" si="35"/>
        <v>#N/A</v>
      </c>
    </row>
    <row r="93" spans="1:32" x14ac:dyDescent="0.35">
      <c r="A93" t="s">
        <v>135</v>
      </c>
      <c r="B93" s="22">
        <f>IF(AND(B10="OPTIONAL",MAX(B38,B39,B55,B73,B74)&lt;=0),"",-B39-B56-B74)</f>
        <v>0</v>
      </c>
      <c r="C93" s="22">
        <f>IF(AND(C10="OPTIONAL",MAX(C38,C39,C55,C73,C74)&lt;=0),"",-C39-C56-C74)</f>
        <v>0</v>
      </c>
      <c r="D93" s="22">
        <f t="shared" ref="D93:AF93" si="36">IF(AND(D10="OPTIONAL",MAX(D38,D39,D55,D73,D74)&lt;=0),"",-D39-D56-D74)</f>
        <v>0</v>
      </c>
      <c r="E93" s="22">
        <f t="shared" si="36"/>
        <v>0</v>
      </c>
      <c r="F93" s="22">
        <f t="shared" si="36"/>
        <v>0</v>
      </c>
      <c r="G93" s="22">
        <f t="shared" si="36"/>
        <v>0</v>
      </c>
      <c r="H93" s="22">
        <f t="shared" si="36"/>
        <v>0</v>
      </c>
      <c r="I93" s="22">
        <f t="shared" si="36"/>
        <v>0</v>
      </c>
      <c r="J93" s="22">
        <f t="shared" si="36"/>
        <v>0</v>
      </c>
      <c r="K93" s="22">
        <f t="shared" si="36"/>
        <v>0</v>
      </c>
      <c r="L93" s="22">
        <f t="shared" si="36"/>
        <v>0</v>
      </c>
      <c r="M93" s="22">
        <f t="shared" si="36"/>
        <v>0</v>
      </c>
      <c r="N93" s="22">
        <f>IF(AND(N10="OPTIONAL",MAX(N38,N39,N55,N73,N74)&lt;=0),"",-N39-N56-N74)</f>
        <v>0</v>
      </c>
      <c r="O93" s="22">
        <f t="shared" si="36"/>
        <v>0</v>
      </c>
      <c r="P93" s="22">
        <f t="shared" si="36"/>
        <v>0</v>
      </c>
      <c r="Q93" s="22">
        <f t="shared" si="36"/>
        <v>0</v>
      </c>
      <c r="R93" s="22">
        <f t="shared" si="36"/>
        <v>0</v>
      </c>
      <c r="S93" s="22">
        <f t="shared" si="36"/>
        <v>0</v>
      </c>
      <c r="T93" s="22">
        <f t="shared" si="36"/>
        <v>0</v>
      </c>
      <c r="U93" s="22">
        <f t="shared" si="36"/>
        <v>0</v>
      </c>
      <c r="V93" s="22">
        <f t="shared" si="36"/>
        <v>0</v>
      </c>
      <c r="W93" s="22">
        <f t="shared" si="36"/>
        <v>0</v>
      </c>
      <c r="X93" s="22">
        <f t="shared" si="36"/>
        <v>0</v>
      </c>
      <c r="Y93" s="22">
        <f t="shared" si="36"/>
        <v>0</v>
      </c>
      <c r="Z93" s="22">
        <f t="shared" si="36"/>
        <v>0</v>
      </c>
      <c r="AA93" s="22">
        <f t="shared" si="36"/>
        <v>0</v>
      </c>
      <c r="AB93" s="22" t="str">
        <f t="shared" si="36"/>
        <v/>
      </c>
      <c r="AC93" s="22" t="str">
        <f t="shared" si="36"/>
        <v/>
      </c>
      <c r="AD93" s="22" t="str">
        <f t="shared" si="36"/>
        <v/>
      </c>
      <c r="AE93" s="22" t="str">
        <f t="shared" si="36"/>
        <v/>
      </c>
      <c r="AF93" s="22" t="str">
        <f t="shared" si="36"/>
        <v/>
      </c>
    </row>
    <row r="94" spans="1:32" x14ac:dyDescent="0.35">
      <c r="A94" t="s">
        <v>136</v>
      </c>
      <c r="B94" s="22">
        <f>SUM($B$93:B$93)</f>
        <v>0</v>
      </c>
      <c r="C94" s="22">
        <f>SUM($B$93:C$93)</f>
        <v>0</v>
      </c>
      <c r="D94" s="22">
        <f>SUM($B$93:D$93)</f>
        <v>0</v>
      </c>
      <c r="E94" s="22">
        <f>SUM($B$93:E$93)</f>
        <v>0</v>
      </c>
      <c r="F94" s="22">
        <f>SUM($B$93:F$93)</f>
        <v>0</v>
      </c>
      <c r="G94" s="22">
        <f>SUM($B$93:G$93)</f>
        <v>0</v>
      </c>
      <c r="H94" s="22">
        <f>SUM($B$93:H$93)</f>
        <v>0</v>
      </c>
      <c r="I94" s="22">
        <f>SUM($B$93:I$93)</f>
        <v>0</v>
      </c>
      <c r="J94" s="22">
        <f>SUM($B$93:J$93)</f>
        <v>0</v>
      </c>
      <c r="K94" s="22">
        <f>SUM($B$93:K$93)</f>
        <v>0</v>
      </c>
      <c r="L94" s="22">
        <f>SUM($B$93:L$93)</f>
        <v>0</v>
      </c>
      <c r="M94" s="22">
        <f>SUM($B$93:M$93)</f>
        <v>0</v>
      </c>
      <c r="N94" s="22">
        <f>SUM($B$93:N$93)</f>
        <v>0</v>
      </c>
      <c r="O94" s="22">
        <f>SUM($B$93:O$93)</f>
        <v>0</v>
      </c>
      <c r="P94" s="22">
        <f>SUM($B$93:P$93)</f>
        <v>0</v>
      </c>
      <c r="Q94" s="22">
        <f>SUM($B$93:Q$93)</f>
        <v>0</v>
      </c>
      <c r="R94" s="22">
        <f>SUM($B$93:R$93)</f>
        <v>0</v>
      </c>
      <c r="S94" s="22">
        <f>SUM($B$93:S$93)</f>
        <v>0</v>
      </c>
      <c r="T94" s="22">
        <f>SUM($B$93:T$93)</f>
        <v>0</v>
      </c>
      <c r="U94" s="22">
        <f>SUM($B$93:U$93)</f>
        <v>0</v>
      </c>
      <c r="V94" s="22">
        <f>SUM($B$93:V$93)</f>
        <v>0</v>
      </c>
      <c r="W94" s="22">
        <f>SUM($B$93:W$93)</f>
        <v>0</v>
      </c>
      <c r="X94" s="22">
        <f>SUM($B$93:X$93)</f>
        <v>0</v>
      </c>
      <c r="Y94" s="22">
        <f>SUM($B$93:Y$93)</f>
        <v>0</v>
      </c>
      <c r="Z94" s="22">
        <f>SUM($B$93:Z$93)</f>
        <v>0</v>
      </c>
      <c r="AA94" s="22">
        <f>SUM($B$93:AA$93)</f>
        <v>0</v>
      </c>
      <c r="AB94" s="22">
        <f>SUM($B$93:AB$93)</f>
        <v>0</v>
      </c>
      <c r="AC94" s="22">
        <f>SUM($B$93:AC$93)</f>
        <v>0</v>
      </c>
      <c r="AD94" s="22">
        <f>SUM($B$93:AD$93)</f>
        <v>0</v>
      </c>
      <c r="AE94" s="22">
        <f>SUM($B$93:AE$93)</f>
        <v>0</v>
      </c>
      <c r="AF94" s="22">
        <f>SUM($B$93:AF$93)</f>
        <v>0</v>
      </c>
    </row>
    <row r="95" spans="1:32" x14ac:dyDescent="0.35">
      <c r="A95" t="s">
        <v>132</v>
      </c>
      <c r="B95" s="5">
        <f>IF(AND(B10="OPTIONAL",MAX(B38,B39,B55,B56,B73,B74)&lt;=0),"",IF(B$83&gt;=B$94-$AF$94-B$93,COUNT(B$94:$AF$94),IFERROR(IF(B$83&lt;-B$93,0,MATCH(B$94-B$83-B$93,B$94:$AF$94,-1)),0)))</f>
        <v>31</v>
      </c>
      <c r="C95" s="5">
        <f>IF(AND(C10="OPTIONAL",MAX(C38,C39,C55,C56,C73,C74)&lt;=0),"",IF(C$83&gt;=C$94-$AF$94-C$93,COUNT(C$94:$AF$94),IFERROR(IF(C$83&lt;-C$93,0,MATCH(C$94-C$83-C$93,C$94:$AF$94,-1)),0)))</f>
        <v>30</v>
      </c>
      <c r="D95" s="5">
        <f>IF(AND(D10="OPTIONAL",MAX(D38,D39,D55,D56,D73,D74)&lt;=0),"",IF(D$83&gt;=D$94-$AF$94-D$93,COUNT(D$94:$AF$94),IFERROR(IF(D$83&lt;-D$93,0,MATCH(D$94-D$83-D$93,D$94:$AF$94,-1)),0)))</f>
        <v>29</v>
      </c>
      <c r="E95" s="5">
        <f>IF(AND(E10="OPTIONAL",MAX(E38,E39,E55,E56,E73,E74)&lt;=0),"",IF(E$83&gt;=E$94-$AF$94-E$93,COUNT(E$94:$AF$94),IFERROR(IF(E$83&lt;-E$93,0,MATCH(E$94-E$83-E$93,E$94:$AF$94,-1)),0)))</f>
        <v>28</v>
      </c>
      <c r="F95" s="5">
        <f>IF(AND(F10="OPTIONAL",MAX(F38,F39,F55,F56,F73,F74)&lt;=0),"",IF(F$83&gt;=F$94-$AF$94-F$93,COUNT(F$94:$AF$94),IFERROR(IF(F$83&lt;-F$93,0,MATCH(F$94-F$83-F$93,F$94:$AF$94,-1)),0)))</f>
        <v>27</v>
      </c>
      <c r="G95" s="5">
        <f>IF(AND(G10="OPTIONAL",MAX(G38,G39,G55,G56,G73,G74)&lt;=0),"",IF(G$83&gt;=G$94-$AF$94-G$93,COUNT(G$94:$AF$94),IFERROR(IF(G$83&lt;-G$93,0,MATCH(G$94-G$83-G$93,G$94:$AF$94,-1)),0)))</f>
        <v>26</v>
      </c>
      <c r="H95" s="5">
        <f>IF(AND(H10="OPTIONAL",MAX(H38,H39,H55,H56,H73,H74)&lt;=0),"",IF(H$83&gt;=H$94-$AF$94-H$93,COUNT(H$94:$AF$94),IFERROR(IF(H$83&lt;-H$93,0,MATCH(H$94-H$83-H$93,H$94:$AF$94,-1)),0)))</f>
        <v>25</v>
      </c>
      <c r="I95" s="5">
        <f>IF(AND(I10="OPTIONAL",MAX(I38,I39,I55,I56,I73,I74)&lt;=0),"",IF(I$83&gt;=I$94-$AF$94-I$93,COUNT(I$94:$AF$94),IFERROR(IF(I$83&lt;-I$93,0,MATCH(I$94-I$83-I$93,I$94:$AF$94,-1)),0)))</f>
        <v>24</v>
      </c>
      <c r="J95" s="5">
        <f>IF(AND(J10="OPTIONAL",MAX(J38,J39,J55,J56,J73,J74)&lt;=0),"",IF(J$83&gt;=J$94-$AF$94-J$93,COUNT(J$94:$AF$94),IFERROR(IF(J$83&lt;-J$93,0,MATCH(J$94-J$83-J$93,J$94:$AF$94,-1)),0)))</f>
        <v>23</v>
      </c>
      <c r="K95" s="5">
        <f>IF(AND(K10="OPTIONAL",MAX(K38,K39,K55,K56,K73,K74)&lt;=0),"",IF(K$83&gt;=K$94-$AF$94-K$93,COUNT(K$94:$AF$94),IFERROR(IF(K$83&lt;-K$93,0,MATCH(K$94-K$83-K$93,K$94:$AF$94,-1)),0)))</f>
        <v>22</v>
      </c>
      <c r="L95" s="5">
        <f>IF(AND(L10="OPTIONAL",MAX(L38,L39,L55,L56,L73,L74)&lt;=0),"",IF(L$83&gt;=L$94-$AF$94-L$93,COUNT(L$94:$AF$94),IFERROR(IF(L$83&lt;-L$93,0,MATCH(L$94-L$83-L$93,L$94:$AF$94,-1)),0)))</f>
        <v>21</v>
      </c>
      <c r="M95" s="5">
        <f>IF(AND(M10="OPTIONAL",MAX(M38,M39,M55,M56,M73,M74)&lt;=0),"",IF(M$83&gt;=M$94-$AF$94-M$93,COUNT(M$94:$AF$94),IFERROR(IF(M$83&lt;-M$93,0,MATCH(M$94-M$83-M$93,M$94:$AF$94,-1)),0)))</f>
        <v>20</v>
      </c>
      <c r="N95" s="5">
        <f>IF(AND(N10="OPTIONAL",MAX(N38,N39,N55,N56,N73,N74)&lt;=0),"",IF(N$83&gt;=N$94-$AF$94-N$93,COUNT(N$94:$AF$94),IFERROR(IF(N$83&lt;-N$93,0,MATCH(N$94-N$83-N$93,N$94:$AF$94,-1)),0)))</f>
        <v>19</v>
      </c>
      <c r="O95" s="5">
        <f>IF(AND(O10="OPTIONAL",MAX(O38,O39,O55,O56,O73,O74)&lt;=0),"",IF(O$83&gt;=O$94-$AF$94-O$93,COUNT(O$94:$AF$94),IFERROR(IF(O$83&lt;-O$93,0,MATCH(O$94-O$83-O$93,O$94:$AF$94,-1)),0)))</f>
        <v>18</v>
      </c>
      <c r="P95" s="5">
        <f>IF(AND(P10="OPTIONAL",MAX(P38,P39,P55,P56,P73,P74)&lt;=0),"",IF(P$83&gt;=P$94-$AF$94-P$93,COUNT(P$94:$AF$94),IFERROR(IF(P$83&lt;-P$93,0,MATCH(P$94-P$83-P$93,P$94:$AF$94,-1)),0)))</f>
        <v>17</v>
      </c>
      <c r="Q95" s="5">
        <f>IF(AND(Q10="OPTIONAL",MAX(Q38,Q39,Q55,Q56,Q73,Q74)&lt;=0),"",IF(Q$83&gt;=Q$94-$AF$94-Q$93,COUNT(Q$94:$AF$94),IFERROR(IF(Q$83&lt;-Q$93,0,MATCH(Q$94-Q$83-Q$93,Q$94:$AF$94,-1)),0)))</f>
        <v>16</v>
      </c>
      <c r="R95" s="5">
        <f>IF(AND(R10="OPTIONAL",MAX(R38,R39,R55,R56,R73,R74)&lt;=0),"",IF(R$83&gt;=R$94-$AF$94-R$93,COUNT(R$94:$AF$94),IFERROR(IF(R$83&lt;-R$93,0,MATCH(R$94-R$83-R$93,R$94:$AF$94,-1)),0)))</f>
        <v>15</v>
      </c>
      <c r="S95" s="5">
        <f>IF(AND(S10="OPTIONAL",MAX(S38,S39,S55,S56,S73,S74)&lt;=0),"",IF(S$83&gt;=S$94-$AF$94-S$93,COUNT(S$94:$AF$94),IFERROR(IF(S$83&lt;-S$93,0,MATCH(S$94-S$83-S$93,S$94:$AF$94,-1)),0)))</f>
        <v>14</v>
      </c>
      <c r="T95" s="5">
        <f>IF(AND(T10="OPTIONAL",MAX(T38,T39,T55,T56,T73,T74)&lt;=0),"",IF(T$83&gt;=T$94-$AF$94-T$93,COUNT(T$94:$AF$94),IFERROR(IF(T$83&lt;-T$93,0,MATCH(T$94-T$83-T$93,T$94:$AF$94,-1)),0)))</f>
        <v>13</v>
      </c>
      <c r="U95" s="5">
        <f>IF(AND(U10="OPTIONAL",MAX(U38,U39,U55,U56,U73,U74)&lt;=0),"",IF(U$83&gt;=U$94-$AF$94-U$93,COUNT(U$94:$AF$94),IFERROR(IF(U$83&lt;-U$93,0,MATCH(U$94-U$83-U$93,U$94:$AF$94,-1)),0)))</f>
        <v>12</v>
      </c>
      <c r="V95" s="5">
        <f>IF(AND(V10="OPTIONAL",MAX(V38,V39,V55,V56,V73,V74)&lt;=0),"",IF(V$83&gt;=V$94-$AF$94-V$93,COUNT(V$94:$AF$94),IFERROR(IF(V$83&lt;-V$93,0,MATCH(V$94-V$83-V$93,V$94:$AF$94,-1)),0)))</f>
        <v>11</v>
      </c>
      <c r="W95" s="5">
        <f>IF(AND(W10="OPTIONAL",MAX(W38,W39,W55,W56,W73,W74)&lt;=0),"",IF(W$83&gt;=W$94-$AF$94-W$93,COUNT(W$94:$AF$94),IFERROR(IF(W$83&lt;-W$93,0,MATCH(W$94-W$83-W$93,W$94:$AF$94,-1)),0)))</f>
        <v>10</v>
      </c>
      <c r="X95" s="5">
        <f>IF(AND(X10="OPTIONAL",MAX(X38,X39,X55,X56,X73,X74)&lt;=0),"",IF(X$83&gt;=X$94-$AF$94-X$93,COUNT(X$94:$AF$94),IFERROR(IF(X$83&lt;-X$93,0,MATCH(X$94-X$83-X$93,X$94:$AF$94,-1)),0)))</f>
        <v>9</v>
      </c>
      <c r="Y95" s="5">
        <f>IF(AND(Y10="OPTIONAL",MAX(Y38,Y39,Y55,Y56,Y73,Y74)&lt;=0),"",IF(Y$83&gt;=Y$94-$AF$94-Y$93,COUNT(Y$94:$AF$94),IFERROR(IF(Y$83&lt;-Y$93,0,MATCH(Y$94-Y$83-Y$93,Y$94:$AF$94,-1)),0)))</f>
        <v>8</v>
      </c>
      <c r="Z95" s="5">
        <f>IF(AND(Z10="OPTIONAL",MAX(Z38,Z39,Z55,Z56,Z73,Z74)&lt;=0),"",IF(Z$83&gt;=Z$94-$AF$94-Z$93,COUNT(Z$94:$AF$94),IFERROR(IF(Z$83&lt;-Z$93,0,MATCH(Z$94-Z$83-Z$93,Z$94:$AF$94,-1)),0)))</f>
        <v>7</v>
      </c>
      <c r="AA95" s="5">
        <f>IF(AND(AA10="OPTIONAL",MAX(AA38,AA39,AA55,AA56,AA73,AA74)&lt;=0),"",IF(AA$83&gt;=AA$94-$AF$94-AA$93,COUNT(AA$94:$AF$94),IFERROR(IF(AA$83&lt;-AA$93,0,MATCH(AA$94-AA$83-AA$93,AA$94:$AF$94,-1)),0)))</f>
        <v>6</v>
      </c>
      <c r="AB95" s="5" t="str">
        <f>IF(AND(AB10="OPTIONAL",MAX(AB38,AB39,AB55,AB56,AB73,AB74)&lt;=0),"",IF(AB$83&gt;=AB$94-$AF$94-AB$93,COUNT(AB$94:$AF$94),IFERROR(IF(AB$83&lt;-AB$93,0,MATCH(AB$94-AB$83-AB$93,AB$94:$AF$94,-1)),0)))</f>
        <v/>
      </c>
      <c r="AC95" s="5" t="str">
        <f>IF(AND(AC10="OPTIONAL",MAX(AC38,AC39,AC55,AC56,AC73,AC74)&lt;=0),"",IF(AC$83&gt;=AC$94-$AF$94-AC$93,COUNT(AC$94:$AF$94),IFERROR(IF(AC$83&lt;-AC$93,0,MATCH(AC$94-AC$83-AC$93,AC$94:$AF$94,-1)),0)))</f>
        <v/>
      </c>
      <c r="AD95" s="5" t="str">
        <f>IF(AND(AD10="OPTIONAL",MAX(AD38,AD39,AD55,AD56,AD73,AD74)&lt;=0),"",IF(AD$83&gt;=AD$94-$AF$94-AD$93,COUNT(AD$94:$AF$94),IFERROR(IF(AD$83&lt;-AD$93,0,MATCH(AD$94-AD$83-AD$93,AD$94:$AF$94,-1)),0)))</f>
        <v/>
      </c>
      <c r="AE95" s="5" t="str">
        <f>IF(AND(AE10="OPTIONAL",MAX(AE38,AE39,AE55,AE56,AE73,AE74)&lt;=0),"",IF(AE$83&gt;=AE$94-$AF$94-AE$93,COUNT(AE$94:$AF$94),IFERROR(IF(AE$83&lt;-AE$93,0,MATCH(AE$94-AE$83-AE$93,AE$94:$AF$94,-1)),0)))</f>
        <v/>
      </c>
      <c r="AF95" s="5" t="str">
        <f>IF(AND(AF10="OPTIONAL",MAX(AF38,AF39,AF55,AF56,AF73,AF74)&lt;=0),"",IF(AF$83&gt;=AF$94-$AF$94-AF$93,COUNT(AF$94:$AF$94),IFERROR(IF(AF$83&lt;-AF$93,0,MATCH(AF$94-AF$83-AF$93,AF$94:$AF$94,-1)),0)))</f>
        <v/>
      </c>
    </row>
    <row r="96" spans="1:32" x14ac:dyDescent="0.35">
      <c r="B96" s="22"/>
      <c r="C96" s="79"/>
      <c r="D96" s="79"/>
      <c r="E96" s="79"/>
      <c r="F96" s="79"/>
      <c r="G96" s="79"/>
      <c r="H96" s="79"/>
      <c r="I96" s="79"/>
      <c r="J96" s="79"/>
      <c r="K96" s="79"/>
      <c r="L96" s="79"/>
      <c r="M96" s="79"/>
      <c r="N96" s="79"/>
      <c r="O96" s="79"/>
      <c r="P96" s="80"/>
    </row>
  </sheetData>
  <sheetProtection algorithmName="SHA-512" hashValue="AtL7FAqZy88qc5B6Jcdi+E7roPCRpo0exxHFizRedAcCEglohBQChAfbram+DfzhJS1J65ukUbtdz6Vf47TLVA==" saltValue="lZ/vcIyJdz8sx1DqRL4zZg==" spinCount="100000" sheet="1" objects="1" scenarios="1"/>
  <protectedRanges>
    <protectedRange sqref="B32:AF36" name="Operating Payments"/>
    <protectedRange sqref="B17:AF28" name="Operating Receipts"/>
    <protectedRange sqref="B45:AF47" name="Investing Receipts"/>
    <protectedRange sqref="B51:AF53" name="Investing Payments"/>
    <protectedRange sqref="B62:AF65 B81:AF81" name="Financing Receipts"/>
    <protectedRange sqref="B83" name="Opening Balance"/>
    <protectedRange sqref="A28" name="OtherOR"/>
    <protectedRange sqref="A36" name="OtherOP"/>
    <protectedRange sqref="A47" name="OtherIR"/>
    <protectedRange sqref="A53" name="OtherIP"/>
    <protectedRange sqref="A65" name="OtherFR"/>
    <protectedRange sqref="A71" name="OtherFP"/>
    <protectedRange sqref="B69:AT71" name="Financing Payments_1"/>
  </protectedRanges>
  <mergeCells count="3">
    <mergeCell ref="C9:K9"/>
    <mergeCell ref="C8:K8"/>
    <mergeCell ref="C10:K10"/>
  </mergeCells>
  <phoneticPr fontId="39" type="noConversion"/>
  <conditionalFormatting sqref="B13:AF14">
    <cfRule type="cellIs" dxfId="6" priority="12" operator="equal">
      <formula>"Forecast"</formula>
    </cfRule>
    <cfRule type="cellIs" dxfId="5" priority="13" operator="equal">
      <formula>"Actual"</formula>
    </cfRule>
  </conditionalFormatting>
  <conditionalFormatting sqref="B14:AF14">
    <cfRule type="expression" dxfId="4" priority="8">
      <formula>LEFT($A$14,1)="P"</formula>
    </cfRule>
  </conditionalFormatting>
  <conditionalFormatting sqref="A6">
    <cfRule type="containsText" dxfId="3" priority="6" operator="containsText" text="SELECT COLLEGE">
      <formula>NOT(ISERROR(SEARCH("SELECT COLLEGE",A6)))</formula>
    </cfRule>
  </conditionalFormatting>
  <conditionalFormatting sqref="A4">
    <cfRule type="containsText" dxfId="2" priority="5" operator="containsText" text="SELECT COLLEGE">
      <formula>NOT(ISERROR(SEARCH("SELECT COLLEGE",A4)))</formula>
    </cfRule>
  </conditionalFormatting>
  <conditionalFormatting sqref="B92:AF92">
    <cfRule type="containsErrors" dxfId="1" priority="2">
      <formula>ISERROR(B92)</formula>
    </cfRule>
  </conditionalFormatting>
  <conditionalFormatting sqref="B85:AF85">
    <cfRule type="containsErrors" dxfId="0" priority="1">
      <formula>ISERROR(B85)</formula>
    </cfRule>
  </conditionalFormatting>
  <dataValidations count="4">
    <dataValidation type="decimal" operator="greaterThanOrEqual" allowBlank="1" showInputMessage="1" showErrorMessage="1" sqref="B83 B17:AF28 B62:AF65 B32:AF36 B45:AF47 B51:AF53 B69:AT71 B81:AF81" xr:uid="{00000000-0002-0000-0100-000000000000}">
      <formula1>0</formula1>
    </dataValidation>
    <dataValidation allowBlank="1" sqref="A4" xr:uid="{00000000-0002-0000-0100-000003000000}"/>
    <dataValidation type="date" operator="equal" showInputMessage="1" showErrorMessage="1" errorTitle="Forecast start date" error="Please enter a start date in line with the accompanying guidance." sqref="A8" xr:uid="{24B00D7E-A0C0-4DFB-AB80-49F0AB17313C}">
      <formula1>44531</formula1>
    </dataValidation>
    <dataValidation allowBlank="1" errorTitle="UKPRN validation" error="That doesn't look like a valid UKPRN. This workbook will validate your entry with the UKRLP website._x000a__x000a_While validation can take up to 1 minute, this can be expedited by hitting CTRL+ALT+F5 for a Refresh All." sqref="A6" xr:uid="{521D6022-B1FF-4644-B916-597E85DFE6C6}"/>
  </dataValidations>
  <hyperlinks>
    <hyperlink ref="C8" location="Narrative!A1" display="Narrative!A1" xr:uid="{00000000-0004-0000-0100-000001000000}"/>
    <hyperlink ref="C8:K8" location="OpeningBalance" display="OpeningBalance" xr:uid="{00000000-0004-0000-0100-000002000000}"/>
  </hyperlinks>
  <pageMargins left="0.7" right="0.7" top="0.75" bottom="0.75" header="0.3" footer="0.3"/>
  <pageSetup paperSize="9" scale="45" orientation="landscape" r:id="rId1"/>
  <drawing r:id="rId2"/>
  <legacyDrawing r:id="rId3"/>
  <tableParts count="7">
    <tablePart r:id="rId4"/>
    <tablePart r:id="rId5"/>
    <tablePart r:id="rId6"/>
    <tablePart r:id="rId7"/>
    <tablePart r:id="rId8"/>
    <tablePart r:id="rId9"/>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D5F7A-F23D-4578-86CA-48F8398E0115}">
  <dimension ref="A1:E243"/>
  <sheetViews>
    <sheetView topLeftCell="A221" workbookViewId="0">
      <selection activeCell="I241" sqref="I241"/>
    </sheetView>
  </sheetViews>
  <sheetFormatPr defaultRowHeight="14.5" x14ac:dyDescent="0.35"/>
  <cols>
    <col min="1" max="1" width="54.1796875" customWidth="1"/>
    <col min="2" max="2" width="7.1796875" customWidth="1"/>
    <col min="3" max="3" width="7.81640625" customWidth="1"/>
    <col min="4" max="4" width="9" customWidth="1"/>
    <col min="5" max="5" width="10.7265625" customWidth="1"/>
  </cols>
  <sheetData>
    <row r="1" spans="1:5" x14ac:dyDescent="0.35">
      <c r="A1" s="69"/>
      <c r="B1" s="69"/>
      <c r="C1" s="70" t="s">
        <v>137</v>
      </c>
      <c r="D1" s="70" t="s">
        <v>138</v>
      </c>
      <c r="E1" s="70" t="s">
        <v>139</v>
      </c>
    </row>
    <row r="2" spans="1:5" x14ac:dyDescent="0.35">
      <c r="A2" s="70" t="s">
        <v>16</v>
      </c>
      <c r="B2" s="70" t="s">
        <v>140</v>
      </c>
      <c r="C2" s="70" t="s">
        <v>140</v>
      </c>
      <c r="D2" s="70" t="s">
        <v>140</v>
      </c>
      <c r="E2" s="70" t="s">
        <v>140</v>
      </c>
    </row>
    <row r="3" spans="1:5" x14ac:dyDescent="0.35">
      <c r="A3" s="70" t="s">
        <v>141</v>
      </c>
      <c r="B3" s="60" t="s">
        <v>142</v>
      </c>
      <c r="C3" s="60" t="s">
        <v>143</v>
      </c>
      <c r="D3" s="70">
        <v>112314</v>
      </c>
      <c r="E3" s="70">
        <v>10000055</v>
      </c>
    </row>
    <row r="4" spans="1:5" x14ac:dyDescent="0.35">
      <c r="A4" s="70" t="s">
        <v>144</v>
      </c>
      <c r="B4" s="60" t="s">
        <v>142</v>
      </c>
      <c r="C4" s="60" t="s">
        <v>145</v>
      </c>
      <c r="D4" s="70">
        <v>116105</v>
      </c>
      <c r="E4" s="70">
        <v>10004927</v>
      </c>
    </row>
    <row r="5" spans="1:5" x14ac:dyDescent="0.35">
      <c r="A5" s="70" t="s">
        <v>146</v>
      </c>
      <c r="B5" s="60" t="s">
        <v>142</v>
      </c>
      <c r="C5" s="60" t="s">
        <v>147</v>
      </c>
      <c r="D5" s="70">
        <v>134707</v>
      </c>
      <c r="E5" s="70">
        <v>10057981</v>
      </c>
    </row>
    <row r="6" spans="1:5" x14ac:dyDescent="0.35">
      <c r="A6" s="70" t="s">
        <v>148</v>
      </c>
      <c r="B6" s="60" t="s">
        <v>149</v>
      </c>
      <c r="C6" s="60" t="s">
        <v>150</v>
      </c>
      <c r="D6" s="70">
        <v>108372</v>
      </c>
      <c r="E6" s="70">
        <v>10000330</v>
      </c>
    </row>
    <row r="7" spans="1:5" x14ac:dyDescent="0.35">
      <c r="A7" s="70" t="s">
        <v>151</v>
      </c>
      <c r="B7" s="60" t="s">
        <v>152</v>
      </c>
      <c r="C7" s="60" t="s">
        <v>153</v>
      </c>
      <c r="D7" s="70">
        <v>105948</v>
      </c>
      <c r="E7" s="70">
        <v>10000415</v>
      </c>
    </row>
    <row r="8" spans="1:5" x14ac:dyDescent="0.35">
      <c r="A8" s="70" t="s">
        <v>154</v>
      </c>
      <c r="B8" s="60" t="s">
        <v>142</v>
      </c>
      <c r="C8" s="60" t="s">
        <v>155</v>
      </c>
      <c r="D8" s="70">
        <v>108983</v>
      </c>
      <c r="E8" s="70">
        <v>10000473</v>
      </c>
    </row>
    <row r="9" spans="1:5" x14ac:dyDescent="0.35">
      <c r="A9" s="70" t="s">
        <v>156</v>
      </c>
      <c r="B9" s="60" t="s">
        <v>142</v>
      </c>
      <c r="C9" s="60" t="s">
        <v>157</v>
      </c>
      <c r="D9" s="70">
        <v>106542</v>
      </c>
      <c r="E9" s="70">
        <v>10000528</v>
      </c>
    </row>
    <row r="10" spans="1:5" x14ac:dyDescent="0.35">
      <c r="A10" s="70" t="s">
        <v>158</v>
      </c>
      <c r="B10" s="60" t="s">
        <v>142</v>
      </c>
      <c r="C10" s="60" t="s">
        <v>159</v>
      </c>
      <c r="D10" s="70">
        <v>108532</v>
      </c>
      <c r="E10" s="70">
        <v>10000533</v>
      </c>
    </row>
    <row r="11" spans="1:5" x14ac:dyDescent="0.35">
      <c r="A11" s="70" t="s">
        <v>160</v>
      </c>
      <c r="B11" s="60" t="s">
        <v>161</v>
      </c>
      <c r="C11" s="60" t="s">
        <v>162</v>
      </c>
      <c r="D11" s="70">
        <v>107013</v>
      </c>
      <c r="E11" s="70">
        <v>10000536</v>
      </c>
    </row>
    <row r="12" spans="1:5" x14ac:dyDescent="0.35">
      <c r="A12" s="70" t="s">
        <v>163</v>
      </c>
      <c r="B12" s="60" t="s">
        <v>149</v>
      </c>
      <c r="C12" s="60" t="s">
        <v>164</v>
      </c>
      <c r="D12" s="70">
        <v>108437</v>
      </c>
      <c r="E12" s="70">
        <v>10000552</v>
      </c>
    </row>
    <row r="13" spans="1:5" x14ac:dyDescent="0.35">
      <c r="A13" s="70" t="s">
        <v>165</v>
      </c>
      <c r="B13" s="60" t="s">
        <v>142</v>
      </c>
      <c r="C13" s="60" t="s">
        <v>166</v>
      </c>
      <c r="D13" s="70">
        <v>106596</v>
      </c>
      <c r="E13" s="70">
        <v>10000560</v>
      </c>
    </row>
    <row r="14" spans="1:5" x14ac:dyDescent="0.35">
      <c r="A14" s="70" t="s">
        <v>167</v>
      </c>
      <c r="B14" s="60" t="s">
        <v>142</v>
      </c>
      <c r="C14" s="60" t="s">
        <v>168</v>
      </c>
      <c r="D14" s="70">
        <v>105154</v>
      </c>
      <c r="E14" s="70">
        <v>10001465</v>
      </c>
    </row>
    <row r="15" spans="1:5" x14ac:dyDescent="0.35">
      <c r="A15" s="70" t="s">
        <v>169</v>
      </c>
      <c r="B15" s="60" t="s">
        <v>142</v>
      </c>
      <c r="C15" s="60" t="s">
        <v>170</v>
      </c>
      <c r="D15" s="70">
        <v>106319</v>
      </c>
      <c r="E15" s="70">
        <v>10000610</v>
      </c>
    </row>
    <row r="16" spans="1:5" x14ac:dyDescent="0.35">
      <c r="A16" s="70" t="s">
        <v>171</v>
      </c>
      <c r="B16" s="60" t="s">
        <v>152</v>
      </c>
      <c r="C16" s="60" t="s">
        <v>172</v>
      </c>
      <c r="D16" s="70">
        <v>105023</v>
      </c>
      <c r="E16" s="70">
        <v>10000654</v>
      </c>
    </row>
    <row r="17" spans="1:5" x14ac:dyDescent="0.35">
      <c r="A17" s="70" t="s">
        <v>173</v>
      </c>
      <c r="B17" s="60" t="s">
        <v>149</v>
      </c>
      <c r="C17" s="60" t="s">
        <v>174</v>
      </c>
      <c r="D17" s="70">
        <v>108435</v>
      </c>
      <c r="E17" s="70">
        <v>10000670</v>
      </c>
    </row>
    <row r="18" spans="1:5" x14ac:dyDescent="0.35">
      <c r="A18" s="70" t="s">
        <v>175</v>
      </c>
      <c r="B18" s="60" t="s">
        <v>142</v>
      </c>
      <c r="C18" s="60" t="s">
        <v>176</v>
      </c>
      <c r="D18" s="70">
        <v>106368</v>
      </c>
      <c r="E18" s="70">
        <v>10006442</v>
      </c>
    </row>
    <row r="19" spans="1:5" x14ac:dyDescent="0.35">
      <c r="A19" s="70" t="s">
        <v>177</v>
      </c>
      <c r="B19" s="60" t="s">
        <v>142</v>
      </c>
      <c r="C19" s="60" t="s">
        <v>178</v>
      </c>
      <c r="D19" s="70">
        <v>108530</v>
      </c>
      <c r="E19" s="70">
        <v>10000720</v>
      </c>
    </row>
    <row r="20" spans="1:5" x14ac:dyDescent="0.35">
      <c r="A20" s="70" t="s">
        <v>179</v>
      </c>
      <c r="B20" s="60" t="s">
        <v>152</v>
      </c>
      <c r="C20" s="60" t="s">
        <v>180</v>
      </c>
      <c r="D20" s="70">
        <v>105582</v>
      </c>
      <c r="E20" s="70">
        <v>10000721</v>
      </c>
    </row>
    <row r="21" spans="1:5" x14ac:dyDescent="0.35">
      <c r="A21" s="70" t="s">
        <v>181</v>
      </c>
      <c r="B21" s="60" t="s">
        <v>142</v>
      </c>
      <c r="C21" s="60" t="s">
        <v>182</v>
      </c>
      <c r="D21" s="70">
        <v>106749</v>
      </c>
      <c r="E21" s="70">
        <v>10000747</v>
      </c>
    </row>
    <row r="22" spans="1:5" x14ac:dyDescent="0.35">
      <c r="A22" s="70" t="s">
        <v>183</v>
      </c>
      <c r="B22" s="60" t="s">
        <v>142</v>
      </c>
      <c r="C22" s="60" t="s">
        <v>184</v>
      </c>
      <c r="D22" s="70">
        <v>108529</v>
      </c>
      <c r="E22" s="70">
        <v>10000754</v>
      </c>
    </row>
    <row r="23" spans="1:5" x14ac:dyDescent="0.35">
      <c r="A23" s="70" t="s">
        <v>185</v>
      </c>
      <c r="B23" s="60" t="s">
        <v>186</v>
      </c>
      <c r="C23" s="60" t="s">
        <v>187</v>
      </c>
      <c r="D23" s="70">
        <v>106815</v>
      </c>
      <c r="E23" s="70">
        <v>10000794</v>
      </c>
    </row>
    <row r="24" spans="1:5" x14ac:dyDescent="0.35">
      <c r="A24" s="70" t="s">
        <v>188</v>
      </c>
      <c r="B24" s="60" t="s">
        <v>149</v>
      </c>
      <c r="C24" s="60" t="s">
        <v>189</v>
      </c>
      <c r="D24" s="70">
        <v>108320</v>
      </c>
      <c r="E24" s="70">
        <v>10000796</v>
      </c>
    </row>
    <row r="25" spans="1:5" x14ac:dyDescent="0.35">
      <c r="A25" s="70" t="s">
        <v>190</v>
      </c>
      <c r="B25" s="60" t="s">
        <v>142</v>
      </c>
      <c r="C25" s="60" t="s">
        <v>191</v>
      </c>
      <c r="D25" s="70">
        <v>107641</v>
      </c>
      <c r="E25" s="70">
        <v>10000812</v>
      </c>
    </row>
    <row r="26" spans="1:5" x14ac:dyDescent="0.35">
      <c r="A26" s="70" t="s">
        <v>192</v>
      </c>
      <c r="B26" s="60" t="s">
        <v>142</v>
      </c>
      <c r="C26" s="60" t="s">
        <v>193</v>
      </c>
      <c r="D26" s="70">
        <v>106532</v>
      </c>
      <c r="E26" s="70">
        <v>10000820</v>
      </c>
    </row>
    <row r="27" spans="1:5" x14ac:dyDescent="0.35">
      <c r="A27" s="70" t="s">
        <v>194</v>
      </c>
      <c r="B27" s="60" t="s">
        <v>142</v>
      </c>
      <c r="C27" s="60" t="s">
        <v>195</v>
      </c>
      <c r="D27" s="70">
        <v>108311</v>
      </c>
      <c r="E27" s="70">
        <v>10000840</v>
      </c>
    </row>
    <row r="28" spans="1:5" x14ac:dyDescent="0.35">
      <c r="A28" s="70" t="s">
        <v>196</v>
      </c>
      <c r="B28" s="60" t="s">
        <v>161</v>
      </c>
      <c r="C28" s="60" t="s">
        <v>197</v>
      </c>
      <c r="D28" s="70">
        <v>107531</v>
      </c>
      <c r="E28" s="70">
        <v>10000878</v>
      </c>
    </row>
    <row r="29" spans="1:5" x14ac:dyDescent="0.35">
      <c r="A29" s="70" t="s">
        <v>198</v>
      </c>
      <c r="B29" s="60" t="s">
        <v>149</v>
      </c>
      <c r="C29" s="60" t="s">
        <v>199</v>
      </c>
      <c r="D29" s="70">
        <v>108432</v>
      </c>
      <c r="E29" s="70">
        <v>10000887</v>
      </c>
    </row>
    <row r="30" spans="1:5" x14ac:dyDescent="0.35">
      <c r="A30" s="70" t="s">
        <v>200</v>
      </c>
      <c r="B30" s="60" t="s">
        <v>161</v>
      </c>
      <c r="C30" s="60" t="s">
        <v>201</v>
      </c>
      <c r="D30" s="70">
        <v>108468</v>
      </c>
      <c r="E30" s="70">
        <v>10000944</v>
      </c>
    </row>
    <row r="31" spans="1:5" x14ac:dyDescent="0.35">
      <c r="A31" s="70" t="s">
        <v>202</v>
      </c>
      <c r="B31" s="60" t="s">
        <v>142</v>
      </c>
      <c r="C31" s="60" t="s">
        <v>203</v>
      </c>
      <c r="D31" s="70">
        <v>107906</v>
      </c>
      <c r="E31" s="70">
        <v>10000950</v>
      </c>
    </row>
    <row r="32" spans="1:5" x14ac:dyDescent="0.35">
      <c r="A32" s="70" t="s">
        <v>204</v>
      </c>
      <c r="B32" s="60" t="s">
        <v>142</v>
      </c>
      <c r="C32" s="60" t="s">
        <v>205</v>
      </c>
      <c r="D32" s="70">
        <v>106751</v>
      </c>
      <c r="E32" s="70">
        <v>10001000</v>
      </c>
    </row>
    <row r="33" spans="1:5" x14ac:dyDescent="0.35">
      <c r="A33" s="70" t="s">
        <v>206</v>
      </c>
      <c r="B33" s="60" t="s">
        <v>142</v>
      </c>
      <c r="C33" s="60" t="s">
        <v>207</v>
      </c>
      <c r="D33" s="70">
        <v>105347</v>
      </c>
      <c r="E33" s="70">
        <v>10001004</v>
      </c>
    </row>
    <row r="34" spans="1:5" x14ac:dyDescent="0.35">
      <c r="A34" s="70" t="s">
        <v>208</v>
      </c>
      <c r="B34" s="60" t="s">
        <v>161</v>
      </c>
      <c r="C34" s="60" t="s">
        <v>209</v>
      </c>
      <c r="D34" s="70">
        <v>105763</v>
      </c>
      <c r="E34" s="70">
        <v>10001005</v>
      </c>
    </row>
    <row r="35" spans="1:5" x14ac:dyDescent="0.35">
      <c r="A35" s="70" t="s">
        <v>210</v>
      </c>
      <c r="B35" s="60" t="s">
        <v>142</v>
      </c>
      <c r="C35" s="60" t="s">
        <v>211</v>
      </c>
      <c r="D35" s="70">
        <v>108325</v>
      </c>
      <c r="E35" s="70">
        <v>10001093</v>
      </c>
    </row>
    <row r="36" spans="1:5" x14ac:dyDescent="0.35">
      <c r="A36" s="70" t="s">
        <v>212</v>
      </c>
      <c r="B36" s="60" t="s">
        <v>142</v>
      </c>
      <c r="C36" s="60" t="s">
        <v>213</v>
      </c>
      <c r="D36" s="70">
        <v>108527</v>
      </c>
      <c r="E36" s="70">
        <v>10001116</v>
      </c>
    </row>
    <row r="37" spans="1:5" x14ac:dyDescent="0.35">
      <c r="A37" s="70" t="s">
        <v>214</v>
      </c>
      <c r="B37" s="60" t="s">
        <v>152</v>
      </c>
      <c r="C37" s="60" t="s">
        <v>215</v>
      </c>
      <c r="D37" s="70">
        <v>108318</v>
      </c>
      <c r="E37" s="70">
        <v>10001148</v>
      </c>
    </row>
    <row r="38" spans="1:5" x14ac:dyDescent="0.35">
      <c r="A38" s="70" t="s">
        <v>216</v>
      </c>
      <c r="B38" s="60" t="s">
        <v>149</v>
      </c>
      <c r="C38" s="60" t="s">
        <v>217</v>
      </c>
      <c r="D38" s="70">
        <v>108371</v>
      </c>
      <c r="E38" s="70">
        <v>10001165</v>
      </c>
    </row>
    <row r="39" spans="1:5" x14ac:dyDescent="0.35">
      <c r="A39" s="70" t="s">
        <v>218</v>
      </c>
      <c r="B39" s="60" t="s">
        <v>149</v>
      </c>
      <c r="C39" s="60" t="s">
        <v>219</v>
      </c>
      <c r="D39" s="70">
        <v>108370</v>
      </c>
      <c r="E39" s="70">
        <v>10001201</v>
      </c>
    </row>
    <row r="40" spans="1:5" x14ac:dyDescent="0.35">
      <c r="A40" s="70" t="s">
        <v>220</v>
      </c>
      <c r="B40" s="60" t="s">
        <v>142</v>
      </c>
      <c r="C40" s="60" t="s">
        <v>221</v>
      </c>
      <c r="D40" s="70">
        <v>105017</v>
      </c>
      <c r="E40" s="70">
        <v>10002061</v>
      </c>
    </row>
    <row r="41" spans="1:5" x14ac:dyDescent="0.35">
      <c r="A41" s="70" t="s">
        <v>222</v>
      </c>
      <c r="B41" s="60" t="s">
        <v>149</v>
      </c>
      <c r="C41" s="60" t="s">
        <v>223</v>
      </c>
      <c r="D41" s="70">
        <v>106867</v>
      </c>
      <c r="E41" s="70">
        <v>10001346</v>
      </c>
    </row>
    <row r="42" spans="1:5" x14ac:dyDescent="0.35">
      <c r="A42" s="70" t="s">
        <v>224</v>
      </c>
      <c r="B42" s="60" t="s">
        <v>142</v>
      </c>
      <c r="C42" s="60" t="s">
        <v>225</v>
      </c>
      <c r="D42" s="70">
        <v>106563</v>
      </c>
      <c r="E42" s="70">
        <v>10001353</v>
      </c>
    </row>
    <row r="43" spans="1:5" x14ac:dyDescent="0.35">
      <c r="A43" s="70" t="s">
        <v>226</v>
      </c>
      <c r="B43" s="60" t="s">
        <v>161</v>
      </c>
      <c r="C43" s="60" t="s">
        <v>227</v>
      </c>
      <c r="D43" s="70">
        <v>108444</v>
      </c>
      <c r="E43" s="70">
        <v>10005972</v>
      </c>
    </row>
    <row r="44" spans="1:5" x14ac:dyDescent="0.35">
      <c r="A44" s="70" t="s">
        <v>228</v>
      </c>
      <c r="B44" s="60" t="s">
        <v>142</v>
      </c>
      <c r="C44" s="60" t="s">
        <v>229</v>
      </c>
      <c r="D44" s="70">
        <v>105367</v>
      </c>
      <c r="E44" s="70">
        <v>10001378</v>
      </c>
    </row>
    <row r="45" spans="1:5" x14ac:dyDescent="0.35">
      <c r="A45" s="70" t="s">
        <v>230</v>
      </c>
      <c r="B45" s="60" t="s">
        <v>142</v>
      </c>
      <c r="C45" s="60" t="s">
        <v>231</v>
      </c>
      <c r="D45" s="70">
        <v>107513</v>
      </c>
      <c r="E45" s="70">
        <v>10007817</v>
      </c>
    </row>
    <row r="46" spans="1:5" x14ac:dyDescent="0.35">
      <c r="A46" s="70" t="s">
        <v>232</v>
      </c>
      <c r="B46" s="60" t="s">
        <v>149</v>
      </c>
      <c r="C46" s="60" t="s">
        <v>233</v>
      </c>
      <c r="D46" s="70">
        <v>108369</v>
      </c>
      <c r="E46" s="70">
        <v>10001416</v>
      </c>
    </row>
    <row r="47" spans="1:5" x14ac:dyDescent="0.35">
      <c r="A47" s="70" t="s">
        <v>234</v>
      </c>
      <c r="B47" s="60" t="s">
        <v>149</v>
      </c>
      <c r="C47" s="60" t="s">
        <v>235</v>
      </c>
      <c r="D47" s="70">
        <v>106582</v>
      </c>
      <c r="E47" s="70">
        <v>10001446</v>
      </c>
    </row>
    <row r="48" spans="1:5" x14ac:dyDescent="0.35">
      <c r="A48" s="70" t="s">
        <v>236</v>
      </c>
      <c r="B48" s="60" t="s">
        <v>142</v>
      </c>
      <c r="C48" s="60" t="s">
        <v>237</v>
      </c>
      <c r="D48" s="70">
        <v>106947</v>
      </c>
      <c r="E48" s="70">
        <v>10004772</v>
      </c>
    </row>
    <row r="49" spans="1:5" x14ac:dyDescent="0.35">
      <c r="A49" s="70" t="s">
        <v>238</v>
      </c>
      <c r="B49" s="60" t="s">
        <v>142</v>
      </c>
      <c r="C49" s="60" t="s">
        <v>239</v>
      </c>
      <c r="D49" s="70">
        <v>108499</v>
      </c>
      <c r="E49" s="70">
        <v>10005128</v>
      </c>
    </row>
    <row r="50" spans="1:5" x14ac:dyDescent="0.35">
      <c r="A50" s="70" t="s">
        <v>240</v>
      </c>
      <c r="B50" s="60" t="s">
        <v>142</v>
      </c>
      <c r="C50" s="60" t="s">
        <v>241</v>
      </c>
      <c r="D50" s="70">
        <v>105156</v>
      </c>
      <c r="E50" s="70">
        <v>10001467</v>
      </c>
    </row>
    <row r="51" spans="1:5" x14ac:dyDescent="0.35">
      <c r="A51" s="70" t="s">
        <v>242</v>
      </c>
      <c r="B51" s="60" t="s">
        <v>142</v>
      </c>
      <c r="C51" s="60" t="s">
        <v>243</v>
      </c>
      <c r="D51" s="70">
        <v>107096</v>
      </c>
      <c r="E51" s="70">
        <v>10001475</v>
      </c>
    </row>
    <row r="52" spans="1:5" x14ac:dyDescent="0.35">
      <c r="A52" s="70" t="s">
        <v>244</v>
      </c>
      <c r="B52" s="60" t="s">
        <v>142</v>
      </c>
      <c r="C52" s="60" t="s">
        <v>245</v>
      </c>
      <c r="D52" s="70">
        <v>106388</v>
      </c>
      <c r="E52" s="70">
        <v>10007578</v>
      </c>
    </row>
    <row r="53" spans="1:5" x14ac:dyDescent="0.35">
      <c r="A53" s="70" t="s">
        <v>246</v>
      </c>
      <c r="B53" s="60" t="s">
        <v>142</v>
      </c>
      <c r="C53" s="60" t="s">
        <v>247</v>
      </c>
      <c r="D53" s="70">
        <v>106564</v>
      </c>
      <c r="E53" s="70">
        <v>10001535</v>
      </c>
    </row>
    <row r="54" spans="1:5" x14ac:dyDescent="0.35">
      <c r="A54" s="70" t="s">
        <v>248</v>
      </c>
      <c r="B54" s="60" t="s">
        <v>142</v>
      </c>
      <c r="C54" s="60" t="s">
        <v>249</v>
      </c>
      <c r="D54" s="70">
        <v>106490</v>
      </c>
      <c r="E54" s="70">
        <v>10001696</v>
      </c>
    </row>
    <row r="55" spans="1:5" x14ac:dyDescent="0.35">
      <c r="A55" s="70" t="s">
        <v>250</v>
      </c>
      <c r="B55" s="60" t="s">
        <v>142</v>
      </c>
      <c r="C55" s="60" t="s">
        <v>251</v>
      </c>
      <c r="D55" s="70">
        <v>106441</v>
      </c>
      <c r="E55" s="70">
        <v>10003010</v>
      </c>
    </row>
    <row r="56" spans="1:5" x14ac:dyDescent="0.35">
      <c r="A56" s="70" t="s">
        <v>252</v>
      </c>
      <c r="B56" s="60" t="s">
        <v>142</v>
      </c>
      <c r="C56" s="60" t="s">
        <v>253</v>
      </c>
      <c r="D56" s="70">
        <v>107552</v>
      </c>
      <c r="E56" s="70">
        <v>10001743</v>
      </c>
    </row>
    <row r="57" spans="1:5" x14ac:dyDescent="0.35">
      <c r="A57" s="70" t="s">
        <v>254</v>
      </c>
      <c r="B57" s="60" t="s">
        <v>142</v>
      </c>
      <c r="C57" s="60" t="s">
        <v>255</v>
      </c>
      <c r="D57" s="70">
        <v>105714</v>
      </c>
      <c r="E57" s="70">
        <v>10001778</v>
      </c>
    </row>
    <row r="58" spans="1:5" x14ac:dyDescent="0.35">
      <c r="A58" s="70" t="s">
        <v>256</v>
      </c>
      <c r="B58" s="60" t="s">
        <v>142</v>
      </c>
      <c r="C58" s="60" t="s">
        <v>257</v>
      </c>
      <c r="D58" s="70">
        <v>105941</v>
      </c>
      <c r="E58" s="70">
        <v>10001850</v>
      </c>
    </row>
    <row r="59" spans="1:5" x14ac:dyDescent="0.35">
      <c r="A59" s="70" t="s">
        <v>258</v>
      </c>
      <c r="B59" s="60" t="s">
        <v>142</v>
      </c>
      <c r="C59" s="60" t="s">
        <v>259</v>
      </c>
      <c r="D59" s="70">
        <v>112173</v>
      </c>
      <c r="E59" s="70">
        <v>10001919</v>
      </c>
    </row>
    <row r="60" spans="1:5" x14ac:dyDescent="0.35">
      <c r="A60" s="70" t="s">
        <v>260</v>
      </c>
      <c r="B60" s="60" t="s">
        <v>161</v>
      </c>
      <c r="C60" s="60" t="s">
        <v>261</v>
      </c>
      <c r="D60" s="70">
        <v>108464</v>
      </c>
      <c r="E60" s="70">
        <v>10001934</v>
      </c>
    </row>
    <row r="61" spans="1:5" x14ac:dyDescent="0.35">
      <c r="A61" s="70" t="s">
        <v>262</v>
      </c>
      <c r="B61" s="60" t="s">
        <v>142</v>
      </c>
      <c r="C61" s="60" t="s">
        <v>263</v>
      </c>
      <c r="D61" s="70">
        <v>106706</v>
      </c>
      <c r="E61" s="70">
        <v>10004695</v>
      </c>
    </row>
    <row r="62" spans="1:5" x14ac:dyDescent="0.35">
      <c r="A62" s="70" t="s">
        <v>264</v>
      </c>
      <c r="B62" s="60" t="s">
        <v>142</v>
      </c>
      <c r="C62" s="60" t="s">
        <v>265</v>
      </c>
      <c r="D62" s="70">
        <v>106374</v>
      </c>
      <c r="E62" s="70">
        <v>10007924</v>
      </c>
    </row>
    <row r="63" spans="1:5" x14ac:dyDescent="0.35">
      <c r="A63" s="70" t="s">
        <v>266</v>
      </c>
      <c r="B63" s="60" t="s">
        <v>142</v>
      </c>
      <c r="C63" s="60" t="s">
        <v>267</v>
      </c>
      <c r="D63" s="70">
        <v>106809</v>
      </c>
      <c r="E63" s="70">
        <v>10002094</v>
      </c>
    </row>
    <row r="64" spans="1:5" x14ac:dyDescent="0.35">
      <c r="A64" s="70" t="s">
        <v>268</v>
      </c>
      <c r="B64" s="60" t="s">
        <v>142</v>
      </c>
      <c r="C64" s="60" t="s">
        <v>269</v>
      </c>
      <c r="D64" s="70">
        <v>107462</v>
      </c>
      <c r="E64" s="70">
        <v>10004116</v>
      </c>
    </row>
    <row r="65" spans="1:5" x14ac:dyDescent="0.35">
      <c r="A65" s="70" t="s">
        <v>270</v>
      </c>
      <c r="B65" s="60" t="s">
        <v>142</v>
      </c>
      <c r="C65" s="60" t="s">
        <v>271</v>
      </c>
      <c r="D65" s="70">
        <v>108659</v>
      </c>
      <c r="E65" s="70">
        <v>10002111</v>
      </c>
    </row>
    <row r="66" spans="1:5" x14ac:dyDescent="0.35">
      <c r="A66" s="70" t="s">
        <v>272</v>
      </c>
      <c r="B66" s="60" t="s">
        <v>142</v>
      </c>
      <c r="C66" s="60" t="s">
        <v>273</v>
      </c>
      <c r="D66" s="70">
        <v>112380</v>
      </c>
      <c r="E66" s="70">
        <v>10002126</v>
      </c>
    </row>
    <row r="67" spans="1:5" x14ac:dyDescent="0.35">
      <c r="A67" s="70" t="s">
        <v>274</v>
      </c>
      <c r="B67" s="60" t="s">
        <v>142</v>
      </c>
      <c r="C67" s="60" t="s">
        <v>275</v>
      </c>
      <c r="D67" s="70">
        <v>110214</v>
      </c>
      <c r="E67" s="70">
        <v>10002130</v>
      </c>
    </row>
    <row r="68" spans="1:5" x14ac:dyDescent="0.35">
      <c r="A68" s="70" t="s">
        <v>276</v>
      </c>
      <c r="B68" s="60" t="s">
        <v>142</v>
      </c>
      <c r="C68" s="60" t="s">
        <v>277</v>
      </c>
      <c r="D68" s="70">
        <v>107520</v>
      </c>
      <c r="E68" s="70">
        <v>10002923</v>
      </c>
    </row>
    <row r="69" spans="1:5" x14ac:dyDescent="0.35">
      <c r="A69" s="70" t="s">
        <v>278</v>
      </c>
      <c r="B69" s="60" t="s">
        <v>142</v>
      </c>
      <c r="C69" s="60" t="s">
        <v>279</v>
      </c>
      <c r="D69" s="70">
        <v>108524</v>
      </c>
      <c r="E69" s="70">
        <v>10002143</v>
      </c>
    </row>
    <row r="70" spans="1:5" x14ac:dyDescent="0.35">
      <c r="A70" s="70" t="s">
        <v>280</v>
      </c>
      <c r="B70" s="60" t="s">
        <v>142</v>
      </c>
      <c r="C70" s="60" t="s">
        <v>281</v>
      </c>
      <c r="D70" s="70">
        <v>106743</v>
      </c>
      <c r="E70" s="70">
        <v>10006570</v>
      </c>
    </row>
    <row r="71" spans="1:5" x14ac:dyDescent="0.35">
      <c r="A71" s="70" t="s">
        <v>282</v>
      </c>
      <c r="B71" s="60" t="s">
        <v>161</v>
      </c>
      <c r="C71" s="60" t="s">
        <v>283</v>
      </c>
      <c r="D71" s="70">
        <v>108460</v>
      </c>
      <c r="E71" s="70">
        <v>10002370</v>
      </c>
    </row>
    <row r="72" spans="1:5" x14ac:dyDescent="0.35">
      <c r="A72" s="70" t="s">
        <v>284</v>
      </c>
      <c r="B72" s="60" t="s">
        <v>142</v>
      </c>
      <c r="C72" s="60" t="s">
        <v>285</v>
      </c>
      <c r="D72" s="70">
        <v>108459</v>
      </c>
      <c r="E72" s="70">
        <v>10007928</v>
      </c>
    </row>
    <row r="73" spans="1:5" x14ac:dyDescent="0.35">
      <c r="A73" s="70" t="s">
        <v>286</v>
      </c>
      <c r="B73" s="60" t="s">
        <v>142</v>
      </c>
      <c r="C73" s="60" t="s">
        <v>287</v>
      </c>
      <c r="D73" s="70">
        <v>106602</v>
      </c>
      <c r="E73" s="70">
        <v>10002412</v>
      </c>
    </row>
    <row r="74" spans="1:5" x14ac:dyDescent="0.35">
      <c r="A74" s="70" t="s">
        <v>288</v>
      </c>
      <c r="B74" s="60" t="s">
        <v>186</v>
      </c>
      <c r="C74" s="60" t="s">
        <v>289</v>
      </c>
      <c r="D74" s="70">
        <v>108354</v>
      </c>
      <c r="E74" s="70">
        <v>10008641</v>
      </c>
    </row>
    <row r="75" spans="1:5" x14ac:dyDescent="0.35">
      <c r="A75" s="70" t="s">
        <v>290</v>
      </c>
      <c r="B75" s="60" t="s">
        <v>149</v>
      </c>
      <c r="C75" s="60" t="s">
        <v>291</v>
      </c>
      <c r="D75" s="70">
        <v>108335</v>
      </c>
      <c r="E75" s="70">
        <v>10002570</v>
      </c>
    </row>
    <row r="76" spans="1:5" x14ac:dyDescent="0.35">
      <c r="A76" s="70" t="s">
        <v>292</v>
      </c>
      <c r="B76" s="60" t="s">
        <v>142</v>
      </c>
      <c r="C76" s="60" t="s">
        <v>293</v>
      </c>
      <c r="D76" s="70">
        <v>106457</v>
      </c>
      <c r="E76" s="70">
        <v>10002599</v>
      </c>
    </row>
    <row r="77" spans="1:5" x14ac:dyDescent="0.35">
      <c r="A77" s="70" t="s">
        <v>294</v>
      </c>
      <c r="B77" s="60" t="s">
        <v>161</v>
      </c>
      <c r="C77" s="60" t="s">
        <v>295</v>
      </c>
      <c r="D77" s="70">
        <v>108458</v>
      </c>
      <c r="E77" s="70">
        <v>10002638</v>
      </c>
    </row>
    <row r="78" spans="1:5" x14ac:dyDescent="0.35">
      <c r="A78" s="70" t="s">
        <v>296</v>
      </c>
      <c r="B78" s="60" t="s">
        <v>142</v>
      </c>
      <c r="C78" s="60" t="s">
        <v>297</v>
      </c>
      <c r="D78" s="70">
        <v>106583</v>
      </c>
      <c r="E78" s="70">
        <v>10002696</v>
      </c>
    </row>
    <row r="79" spans="1:5" x14ac:dyDescent="0.35">
      <c r="A79" s="70" t="s">
        <v>298</v>
      </c>
      <c r="B79" s="60" t="s">
        <v>142</v>
      </c>
      <c r="C79" s="60" t="s">
        <v>299</v>
      </c>
      <c r="D79" s="70">
        <v>110215</v>
      </c>
      <c r="E79" s="70">
        <v>10002743</v>
      </c>
    </row>
    <row r="80" spans="1:5" x14ac:dyDescent="0.35">
      <c r="A80" s="70" t="s">
        <v>300</v>
      </c>
      <c r="B80" s="60" t="s">
        <v>142</v>
      </c>
      <c r="C80" s="60" t="s">
        <v>301</v>
      </c>
      <c r="D80" s="70">
        <v>108501</v>
      </c>
      <c r="E80" s="70">
        <v>10004736</v>
      </c>
    </row>
    <row r="81" spans="1:5" x14ac:dyDescent="0.35">
      <c r="A81" s="70" t="s">
        <v>302</v>
      </c>
      <c r="B81" s="60" t="s">
        <v>149</v>
      </c>
      <c r="C81" s="60" t="s">
        <v>303</v>
      </c>
      <c r="D81" s="70">
        <v>108424</v>
      </c>
      <c r="E81" s="70">
        <v>10002770</v>
      </c>
    </row>
    <row r="82" spans="1:5" x14ac:dyDescent="0.35">
      <c r="A82" s="70" t="s">
        <v>304</v>
      </c>
      <c r="B82" s="60" t="s">
        <v>152</v>
      </c>
      <c r="C82" s="60" t="s">
        <v>305</v>
      </c>
      <c r="D82" s="70">
        <v>107708</v>
      </c>
      <c r="E82" s="70">
        <v>10002843</v>
      </c>
    </row>
    <row r="83" spans="1:5" x14ac:dyDescent="0.35">
      <c r="A83" s="70" t="s">
        <v>306</v>
      </c>
      <c r="B83" s="71" t="s">
        <v>161</v>
      </c>
      <c r="C83" s="71" t="s">
        <v>307</v>
      </c>
      <c r="D83" s="70">
        <v>108457</v>
      </c>
      <c r="E83" s="70">
        <v>10002852</v>
      </c>
    </row>
    <row r="84" spans="1:5" x14ac:dyDescent="0.35">
      <c r="A84" s="70" t="s">
        <v>308</v>
      </c>
      <c r="B84" s="71" t="s">
        <v>161</v>
      </c>
      <c r="C84" s="71" t="s">
        <v>309</v>
      </c>
      <c r="D84" s="72">
        <v>105486</v>
      </c>
      <c r="E84" s="73">
        <v>10002899</v>
      </c>
    </row>
    <row r="85" spans="1:5" x14ac:dyDescent="0.35">
      <c r="A85" s="70" t="s">
        <v>310</v>
      </c>
      <c r="B85" s="60" t="s">
        <v>142</v>
      </c>
      <c r="C85" s="60" t="s">
        <v>311</v>
      </c>
      <c r="D85" s="70">
        <v>107069</v>
      </c>
      <c r="E85" s="70">
        <v>10002917</v>
      </c>
    </row>
    <row r="86" spans="1:5" x14ac:dyDescent="0.35">
      <c r="A86" s="70" t="s">
        <v>312</v>
      </c>
      <c r="B86" s="60" t="s">
        <v>186</v>
      </c>
      <c r="C86" s="60" t="s">
        <v>313</v>
      </c>
      <c r="D86" s="70">
        <v>141301</v>
      </c>
      <c r="E86" s="70">
        <v>10080810</v>
      </c>
    </row>
    <row r="87" spans="1:5" x14ac:dyDescent="0.35">
      <c r="A87" s="70" t="s">
        <v>314</v>
      </c>
      <c r="B87" s="60" t="s">
        <v>142</v>
      </c>
      <c r="C87" s="60" t="s">
        <v>315</v>
      </c>
      <c r="D87" s="70">
        <v>108488</v>
      </c>
      <c r="E87" s="70">
        <v>10005979</v>
      </c>
    </row>
    <row r="88" spans="1:5" x14ac:dyDescent="0.35">
      <c r="A88" s="70" t="s">
        <v>316</v>
      </c>
      <c r="B88" s="60" t="s">
        <v>142</v>
      </c>
      <c r="C88" s="60" t="s">
        <v>317</v>
      </c>
      <c r="D88" s="70">
        <v>107770</v>
      </c>
      <c r="E88" s="70">
        <v>10007193</v>
      </c>
    </row>
    <row r="89" spans="1:5" x14ac:dyDescent="0.35">
      <c r="A89" s="70" t="s">
        <v>318</v>
      </c>
      <c r="B89" s="60" t="s">
        <v>142</v>
      </c>
      <c r="C89" s="60" t="s">
        <v>319</v>
      </c>
      <c r="D89" s="70">
        <v>106641</v>
      </c>
      <c r="E89" s="70">
        <v>10007977</v>
      </c>
    </row>
    <row r="90" spans="1:5" x14ac:dyDescent="0.35">
      <c r="A90" s="70" t="s">
        <v>320</v>
      </c>
      <c r="B90" s="60" t="s">
        <v>321</v>
      </c>
      <c r="C90" s="60" t="s">
        <v>322</v>
      </c>
      <c r="D90" s="70">
        <v>108535</v>
      </c>
      <c r="E90" s="70">
        <v>10003022</v>
      </c>
    </row>
    <row r="91" spans="1:5" x14ac:dyDescent="0.35">
      <c r="A91" s="70" t="s">
        <v>323</v>
      </c>
      <c r="B91" s="60" t="s">
        <v>142</v>
      </c>
      <c r="C91" s="60" t="s">
        <v>324</v>
      </c>
      <c r="D91" s="70">
        <v>106633</v>
      </c>
      <c r="E91" s="70">
        <v>10003023</v>
      </c>
    </row>
    <row r="92" spans="1:5" x14ac:dyDescent="0.35">
      <c r="A92" s="70" t="s">
        <v>325</v>
      </c>
      <c r="B92" s="60" t="s">
        <v>142</v>
      </c>
      <c r="C92" s="60" t="s">
        <v>326</v>
      </c>
      <c r="D92" s="70">
        <v>108472</v>
      </c>
      <c r="E92" s="70">
        <v>10003029</v>
      </c>
    </row>
    <row r="93" spans="1:5" x14ac:dyDescent="0.35">
      <c r="A93" s="70" t="s">
        <v>327</v>
      </c>
      <c r="B93" s="60" t="s">
        <v>142</v>
      </c>
      <c r="C93" s="60" t="s">
        <v>328</v>
      </c>
      <c r="D93" s="70">
        <v>106658</v>
      </c>
      <c r="E93" s="70">
        <v>10003035</v>
      </c>
    </row>
    <row r="94" spans="1:5" x14ac:dyDescent="0.35">
      <c r="A94" s="70" t="s">
        <v>329</v>
      </c>
      <c r="B94" s="60" t="s">
        <v>142</v>
      </c>
      <c r="C94" s="60" t="s">
        <v>330</v>
      </c>
      <c r="D94" s="70">
        <v>110218</v>
      </c>
      <c r="E94" s="70">
        <v>10007945</v>
      </c>
    </row>
    <row r="95" spans="1:5" x14ac:dyDescent="0.35">
      <c r="A95" s="70" t="s">
        <v>331</v>
      </c>
      <c r="B95" s="60" t="s">
        <v>149</v>
      </c>
      <c r="C95" s="60" t="s">
        <v>332</v>
      </c>
      <c r="D95" s="70">
        <v>108418</v>
      </c>
      <c r="E95" s="70">
        <v>10003094</v>
      </c>
    </row>
    <row r="96" spans="1:5" x14ac:dyDescent="0.35">
      <c r="A96" s="70" t="s">
        <v>333</v>
      </c>
      <c r="B96" s="60" t="s">
        <v>149</v>
      </c>
      <c r="C96" s="60" t="s">
        <v>334</v>
      </c>
      <c r="D96" s="70">
        <v>108367</v>
      </c>
      <c r="E96" s="70">
        <v>10003128</v>
      </c>
    </row>
    <row r="97" spans="1:5" x14ac:dyDescent="0.35">
      <c r="A97" s="70" t="s">
        <v>335</v>
      </c>
      <c r="B97" s="60" t="s">
        <v>161</v>
      </c>
      <c r="C97" s="60" t="s">
        <v>336</v>
      </c>
      <c r="D97" s="70">
        <v>106834</v>
      </c>
      <c r="E97" s="70">
        <v>10003146</v>
      </c>
    </row>
    <row r="98" spans="1:5" x14ac:dyDescent="0.35">
      <c r="A98" s="70" t="s">
        <v>337</v>
      </c>
      <c r="B98" s="60" t="s">
        <v>149</v>
      </c>
      <c r="C98" s="60" t="s">
        <v>338</v>
      </c>
      <c r="D98" s="70">
        <v>108417</v>
      </c>
      <c r="E98" s="70">
        <v>10003188</v>
      </c>
    </row>
    <row r="99" spans="1:5" x14ac:dyDescent="0.35">
      <c r="A99" s="70" t="s">
        <v>339</v>
      </c>
      <c r="B99" s="60" t="s">
        <v>161</v>
      </c>
      <c r="C99" s="60" t="s">
        <v>340</v>
      </c>
      <c r="D99" s="70">
        <v>106900</v>
      </c>
      <c r="E99" s="70">
        <v>10003193</v>
      </c>
    </row>
    <row r="100" spans="1:5" x14ac:dyDescent="0.35">
      <c r="A100" s="70" t="s">
        <v>341</v>
      </c>
      <c r="B100" s="60" t="s">
        <v>142</v>
      </c>
      <c r="C100" s="60" t="s">
        <v>342</v>
      </c>
      <c r="D100" s="70">
        <v>106689</v>
      </c>
      <c r="E100" s="70">
        <v>10003200</v>
      </c>
    </row>
    <row r="101" spans="1:5" x14ac:dyDescent="0.35">
      <c r="A101" s="70" t="s">
        <v>343</v>
      </c>
      <c r="B101" s="60" t="s">
        <v>142</v>
      </c>
      <c r="C101" s="60" t="s">
        <v>344</v>
      </c>
      <c r="D101" s="70">
        <v>106409</v>
      </c>
      <c r="E101" s="70">
        <v>10005077</v>
      </c>
    </row>
    <row r="102" spans="1:5" x14ac:dyDescent="0.35">
      <c r="A102" s="70" t="s">
        <v>345</v>
      </c>
      <c r="B102" s="60" t="s">
        <v>142</v>
      </c>
      <c r="C102" s="60" t="s">
        <v>346</v>
      </c>
      <c r="D102" s="70">
        <v>108517</v>
      </c>
      <c r="E102" s="70">
        <v>10003406</v>
      </c>
    </row>
    <row r="103" spans="1:5" x14ac:dyDescent="0.35">
      <c r="A103" s="70" t="s">
        <v>347</v>
      </c>
      <c r="B103" s="60" t="s">
        <v>149</v>
      </c>
      <c r="C103" s="60" t="s">
        <v>348</v>
      </c>
      <c r="D103" s="70">
        <v>108416</v>
      </c>
      <c r="E103" s="70">
        <v>10003427</v>
      </c>
    </row>
    <row r="104" spans="1:5" x14ac:dyDescent="0.35">
      <c r="A104" s="70" t="s">
        <v>349</v>
      </c>
      <c r="B104" s="60" t="s">
        <v>149</v>
      </c>
      <c r="C104" s="60" t="s">
        <v>350</v>
      </c>
      <c r="D104" s="70">
        <v>108415</v>
      </c>
      <c r="E104" s="70">
        <v>10003491</v>
      </c>
    </row>
    <row r="105" spans="1:5" x14ac:dyDescent="0.35">
      <c r="A105" s="70" t="s">
        <v>351</v>
      </c>
      <c r="B105" s="60" t="s">
        <v>149</v>
      </c>
      <c r="C105" s="60" t="s">
        <v>352</v>
      </c>
      <c r="D105" s="70">
        <v>108413</v>
      </c>
      <c r="E105" s="70">
        <v>10003511</v>
      </c>
    </row>
    <row r="106" spans="1:5" x14ac:dyDescent="0.35">
      <c r="A106" s="70" t="s">
        <v>353</v>
      </c>
      <c r="B106" s="60" t="s">
        <v>142</v>
      </c>
      <c r="C106" s="60" t="s">
        <v>354</v>
      </c>
      <c r="D106" s="70">
        <v>106462</v>
      </c>
      <c r="E106" s="70">
        <v>10003558</v>
      </c>
    </row>
    <row r="107" spans="1:5" x14ac:dyDescent="0.35">
      <c r="A107" s="70" t="s">
        <v>355</v>
      </c>
      <c r="B107" s="60" t="s">
        <v>149</v>
      </c>
      <c r="C107" s="60" t="s">
        <v>356</v>
      </c>
      <c r="D107" s="70">
        <v>108365</v>
      </c>
      <c r="E107" s="70">
        <v>10003625</v>
      </c>
    </row>
    <row r="108" spans="1:5" x14ac:dyDescent="0.35">
      <c r="A108" s="70" t="s">
        <v>357</v>
      </c>
      <c r="B108" s="60" t="s">
        <v>152</v>
      </c>
      <c r="C108" s="60" t="s">
        <v>358</v>
      </c>
      <c r="D108" s="70">
        <v>106536</v>
      </c>
      <c r="E108" s="70">
        <v>10003676</v>
      </c>
    </row>
    <row r="109" spans="1:5" x14ac:dyDescent="0.35">
      <c r="A109" s="70" t="s">
        <v>359</v>
      </c>
      <c r="B109" s="60" t="s">
        <v>142</v>
      </c>
      <c r="C109" s="60" t="s">
        <v>360</v>
      </c>
      <c r="D109" s="70">
        <v>107157</v>
      </c>
      <c r="E109" s="70">
        <v>10003189</v>
      </c>
    </row>
    <row r="110" spans="1:5" x14ac:dyDescent="0.35">
      <c r="A110" s="70" t="s">
        <v>361</v>
      </c>
      <c r="B110" s="60" t="s">
        <v>142</v>
      </c>
      <c r="C110" s="60" t="s">
        <v>362</v>
      </c>
      <c r="D110" s="70">
        <v>106476</v>
      </c>
      <c r="E110" s="70">
        <v>10003753</v>
      </c>
    </row>
    <row r="111" spans="1:5" x14ac:dyDescent="0.35">
      <c r="A111" s="70" t="s">
        <v>363</v>
      </c>
      <c r="B111" s="60" t="s">
        <v>142</v>
      </c>
      <c r="C111" s="60" t="s">
        <v>364</v>
      </c>
      <c r="D111" s="70">
        <v>106466</v>
      </c>
      <c r="E111" s="70">
        <v>10003768</v>
      </c>
    </row>
    <row r="112" spans="1:5" x14ac:dyDescent="0.35">
      <c r="A112" s="70" t="s">
        <v>365</v>
      </c>
      <c r="B112" s="60" t="s">
        <v>142</v>
      </c>
      <c r="C112" s="60" t="s">
        <v>366</v>
      </c>
      <c r="D112" s="70">
        <v>107582</v>
      </c>
      <c r="E112" s="70">
        <v>10003855</v>
      </c>
    </row>
    <row r="113" spans="1:5" x14ac:dyDescent="0.35">
      <c r="A113" s="70" t="s">
        <v>367</v>
      </c>
      <c r="B113" s="60" t="s">
        <v>142</v>
      </c>
      <c r="C113" s="60" t="s">
        <v>368</v>
      </c>
      <c r="D113" s="70">
        <v>105623</v>
      </c>
      <c r="E113" s="70">
        <v>10003867</v>
      </c>
    </row>
    <row r="114" spans="1:5" x14ac:dyDescent="0.35">
      <c r="A114" s="70" t="s">
        <v>369</v>
      </c>
      <c r="B114" s="60" t="s">
        <v>149</v>
      </c>
      <c r="C114" s="60" t="s">
        <v>370</v>
      </c>
      <c r="D114" s="70">
        <v>108412</v>
      </c>
      <c r="E114" s="70">
        <v>10003899</v>
      </c>
    </row>
    <row r="115" spans="1:5" x14ac:dyDescent="0.35">
      <c r="A115" s="70" t="s">
        <v>371</v>
      </c>
      <c r="B115" s="60" t="s">
        <v>142</v>
      </c>
      <c r="C115" s="60" t="s">
        <v>372</v>
      </c>
      <c r="D115" s="70">
        <v>110223</v>
      </c>
      <c r="E115" s="70">
        <v>10003928</v>
      </c>
    </row>
    <row r="116" spans="1:5" x14ac:dyDescent="0.35">
      <c r="A116" s="70" t="s">
        <v>373</v>
      </c>
      <c r="B116" s="60" t="s">
        <v>142</v>
      </c>
      <c r="C116" s="60" t="s">
        <v>374</v>
      </c>
      <c r="D116" s="70">
        <v>105711</v>
      </c>
      <c r="E116" s="70">
        <v>10000948</v>
      </c>
    </row>
    <row r="117" spans="1:5" x14ac:dyDescent="0.35">
      <c r="A117" s="70" t="s">
        <v>375</v>
      </c>
      <c r="B117" s="60" t="s">
        <v>149</v>
      </c>
      <c r="C117" s="60" t="s">
        <v>376</v>
      </c>
      <c r="D117" s="70">
        <v>108411</v>
      </c>
      <c r="E117" s="70">
        <v>10004088</v>
      </c>
    </row>
    <row r="118" spans="1:5" x14ac:dyDescent="0.35">
      <c r="A118" s="70" t="s">
        <v>377</v>
      </c>
      <c r="B118" s="60" t="s">
        <v>149</v>
      </c>
      <c r="C118" s="60" t="s">
        <v>378</v>
      </c>
      <c r="D118" s="70">
        <v>108364</v>
      </c>
      <c r="E118" s="70">
        <v>10004108</v>
      </c>
    </row>
    <row r="119" spans="1:5" x14ac:dyDescent="0.35">
      <c r="A119" s="70" t="s">
        <v>379</v>
      </c>
      <c r="B119" s="60" t="s">
        <v>142</v>
      </c>
      <c r="C119" s="60" t="s">
        <v>380</v>
      </c>
      <c r="D119" s="70">
        <v>109293</v>
      </c>
      <c r="E119" s="70">
        <v>10004112</v>
      </c>
    </row>
    <row r="120" spans="1:5" x14ac:dyDescent="0.35">
      <c r="A120" s="70" t="s">
        <v>381</v>
      </c>
      <c r="B120" s="60" t="s">
        <v>142</v>
      </c>
      <c r="C120" s="60" t="s">
        <v>382</v>
      </c>
      <c r="D120" s="70">
        <v>118446</v>
      </c>
      <c r="E120" s="70">
        <v>10023139</v>
      </c>
    </row>
    <row r="121" spans="1:5" x14ac:dyDescent="0.35">
      <c r="A121" s="70" t="s">
        <v>383</v>
      </c>
      <c r="B121" s="60" t="s">
        <v>142</v>
      </c>
      <c r="C121" s="60" t="s">
        <v>384</v>
      </c>
      <c r="D121" s="70">
        <v>118778</v>
      </c>
      <c r="E121" s="70">
        <v>10024962</v>
      </c>
    </row>
    <row r="122" spans="1:5" x14ac:dyDescent="0.35">
      <c r="A122" s="70" t="s">
        <v>385</v>
      </c>
      <c r="B122" s="60" t="s">
        <v>149</v>
      </c>
      <c r="C122" s="60" t="s">
        <v>386</v>
      </c>
      <c r="D122" s="70">
        <v>108410</v>
      </c>
      <c r="E122" s="70">
        <v>10004125</v>
      </c>
    </row>
    <row r="123" spans="1:5" x14ac:dyDescent="0.35">
      <c r="A123" s="70" t="s">
        <v>387</v>
      </c>
      <c r="B123" s="60" t="s">
        <v>142</v>
      </c>
      <c r="C123" s="60" t="s">
        <v>388</v>
      </c>
      <c r="D123" s="70">
        <v>108345</v>
      </c>
      <c r="E123" s="70">
        <v>10004144</v>
      </c>
    </row>
    <row r="124" spans="1:5" x14ac:dyDescent="0.35">
      <c r="A124" s="70" t="s">
        <v>389</v>
      </c>
      <c r="B124" s="60" t="s">
        <v>186</v>
      </c>
      <c r="C124" s="60" t="s">
        <v>390</v>
      </c>
      <c r="D124" s="70">
        <v>108351</v>
      </c>
      <c r="E124" s="70">
        <v>10007875</v>
      </c>
    </row>
    <row r="125" spans="1:5" x14ac:dyDescent="0.35">
      <c r="A125" s="70" t="s">
        <v>391</v>
      </c>
      <c r="B125" s="60" t="s">
        <v>161</v>
      </c>
      <c r="C125" s="60" t="s">
        <v>392</v>
      </c>
      <c r="D125" s="70">
        <v>107073</v>
      </c>
      <c r="E125" s="70">
        <v>10004344</v>
      </c>
    </row>
    <row r="126" spans="1:5" x14ac:dyDescent="0.35">
      <c r="A126" s="70" t="s">
        <v>393</v>
      </c>
      <c r="B126" s="60" t="s">
        <v>142</v>
      </c>
      <c r="C126" s="60" t="s">
        <v>394</v>
      </c>
      <c r="D126" s="70">
        <v>106733</v>
      </c>
      <c r="E126" s="70">
        <v>10004340</v>
      </c>
    </row>
    <row r="127" spans="1:5" x14ac:dyDescent="0.35">
      <c r="A127" s="70" t="s">
        <v>395</v>
      </c>
      <c r="B127" s="60" t="s">
        <v>142</v>
      </c>
      <c r="C127" s="60" t="s">
        <v>396</v>
      </c>
      <c r="D127" s="70">
        <v>108653</v>
      </c>
      <c r="E127" s="70">
        <v>10004375</v>
      </c>
    </row>
    <row r="128" spans="1:5" x14ac:dyDescent="0.35">
      <c r="A128" s="70" t="s">
        <v>397</v>
      </c>
      <c r="B128" s="60" t="s">
        <v>186</v>
      </c>
      <c r="C128" s="60" t="s">
        <v>398</v>
      </c>
      <c r="D128" s="70">
        <v>108350</v>
      </c>
      <c r="E128" s="70">
        <v>10004432</v>
      </c>
    </row>
    <row r="129" spans="1:5" x14ac:dyDescent="0.35">
      <c r="A129" s="70" t="s">
        <v>399</v>
      </c>
      <c r="B129" s="60" t="s">
        <v>152</v>
      </c>
      <c r="C129" s="60" t="s">
        <v>400</v>
      </c>
      <c r="D129" s="70">
        <v>106966</v>
      </c>
      <c r="E129" s="70">
        <v>10004442</v>
      </c>
    </row>
    <row r="130" spans="1:5" x14ac:dyDescent="0.35">
      <c r="A130" s="70" t="s">
        <v>401</v>
      </c>
      <c r="B130" s="71" t="s">
        <v>152</v>
      </c>
      <c r="C130" s="71" t="s">
        <v>402</v>
      </c>
      <c r="D130" s="70">
        <v>106924</v>
      </c>
      <c r="E130" s="70">
        <v>10004478</v>
      </c>
    </row>
    <row r="131" spans="1:5" x14ac:dyDescent="0.35">
      <c r="A131" s="70" t="s">
        <v>403</v>
      </c>
      <c r="B131" s="60" t="s">
        <v>142</v>
      </c>
      <c r="C131" s="60" t="s">
        <v>404</v>
      </c>
      <c r="D131" s="70">
        <v>138962</v>
      </c>
      <c r="E131" s="70">
        <v>10061475</v>
      </c>
    </row>
    <row r="132" spans="1:5" x14ac:dyDescent="0.35">
      <c r="A132" s="70" t="s">
        <v>405</v>
      </c>
      <c r="B132" s="60" t="s">
        <v>142</v>
      </c>
      <c r="C132" s="60" t="s">
        <v>406</v>
      </c>
      <c r="D132" s="70">
        <v>107111</v>
      </c>
      <c r="E132" s="70">
        <v>10004599</v>
      </c>
    </row>
    <row r="133" spans="1:5" x14ac:dyDescent="0.35">
      <c r="A133" s="70" t="s">
        <v>407</v>
      </c>
      <c r="B133" s="60" t="s">
        <v>161</v>
      </c>
      <c r="C133" s="60" t="s">
        <v>408</v>
      </c>
      <c r="D133" s="70">
        <v>106753</v>
      </c>
      <c r="E133" s="70">
        <v>10004552</v>
      </c>
    </row>
    <row r="134" spans="1:5" x14ac:dyDescent="0.35">
      <c r="A134" s="70" t="s">
        <v>409</v>
      </c>
      <c r="B134" s="60" t="s">
        <v>142</v>
      </c>
      <c r="C134" s="60" t="s">
        <v>410</v>
      </c>
      <c r="D134" s="70">
        <v>106556</v>
      </c>
      <c r="E134" s="70">
        <v>10006963</v>
      </c>
    </row>
    <row r="135" spans="1:5" x14ac:dyDescent="0.35">
      <c r="A135" s="70" t="s">
        <v>411</v>
      </c>
      <c r="B135" s="60" t="s">
        <v>142</v>
      </c>
      <c r="C135" s="60" t="s">
        <v>412</v>
      </c>
      <c r="D135" s="70">
        <v>108661</v>
      </c>
      <c r="E135" s="70">
        <v>10004576</v>
      </c>
    </row>
    <row r="136" spans="1:5" x14ac:dyDescent="0.35">
      <c r="A136" s="70" t="s">
        <v>413</v>
      </c>
      <c r="B136" s="71" t="s">
        <v>142</v>
      </c>
      <c r="C136" s="71" t="s">
        <v>414</v>
      </c>
      <c r="D136" s="70">
        <v>107722</v>
      </c>
      <c r="E136" s="70">
        <v>10006303</v>
      </c>
    </row>
    <row r="137" spans="1:5" x14ac:dyDescent="0.35">
      <c r="A137" s="70" t="s">
        <v>415</v>
      </c>
      <c r="B137" s="60" t="s">
        <v>142</v>
      </c>
      <c r="C137" s="60" t="s">
        <v>416</v>
      </c>
      <c r="D137" s="70">
        <v>107178</v>
      </c>
      <c r="E137" s="70">
        <v>10004579</v>
      </c>
    </row>
    <row r="138" spans="1:5" x14ac:dyDescent="0.35">
      <c r="A138" s="70" t="s">
        <v>417</v>
      </c>
      <c r="B138" s="60" t="s">
        <v>142</v>
      </c>
      <c r="C138" s="60" t="s">
        <v>418</v>
      </c>
      <c r="D138" s="70">
        <v>110221</v>
      </c>
      <c r="E138" s="70">
        <v>10004596</v>
      </c>
    </row>
    <row r="139" spans="1:5" x14ac:dyDescent="0.35">
      <c r="A139" s="70" t="s">
        <v>419</v>
      </c>
      <c r="B139" s="60" t="s">
        <v>142</v>
      </c>
      <c r="C139" s="60" t="s">
        <v>420</v>
      </c>
      <c r="D139" s="70">
        <v>106068</v>
      </c>
      <c r="E139" s="70">
        <v>10004603</v>
      </c>
    </row>
    <row r="140" spans="1:5" x14ac:dyDescent="0.35">
      <c r="A140" s="70" t="s">
        <v>421</v>
      </c>
      <c r="B140" s="60" t="s">
        <v>142</v>
      </c>
      <c r="C140" s="60" t="s">
        <v>422</v>
      </c>
      <c r="D140" s="70">
        <v>108507</v>
      </c>
      <c r="E140" s="70">
        <v>10004607</v>
      </c>
    </row>
    <row r="141" spans="1:5" x14ac:dyDescent="0.35">
      <c r="A141" s="70" t="s">
        <v>423</v>
      </c>
      <c r="B141" s="60" t="s">
        <v>149</v>
      </c>
      <c r="C141" s="60" t="s">
        <v>424</v>
      </c>
      <c r="D141" s="70">
        <v>108407</v>
      </c>
      <c r="E141" s="70">
        <v>10004608</v>
      </c>
    </row>
    <row r="142" spans="1:5" x14ac:dyDescent="0.35">
      <c r="A142" s="70" t="s">
        <v>425</v>
      </c>
      <c r="B142" s="60" t="s">
        <v>142</v>
      </c>
      <c r="C142" s="60" t="s">
        <v>426</v>
      </c>
      <c r="D142" s="70">
        <v>108505</v>
      </c>
      <c r="E142" s="70">
        <v>10004686</v>
      </c>
    </row>
    <row r="143" spans="1:5" x14ac:dyDescent="0.35">
      <c r="A143" s="70" t="s">
        <v>427</v>
      </c>
      <c r="B143" s="60" t="s">
        <v>142</v>
      </c>
      <c r="C143" s="60" t="s">
        <v>428</v>
      </c>
      <c r="D143" s="70">
        <v>105010</v>
      </c>
      <c r="E143" s="70">
        <v>10004690</v>
      </c>
    </row>
    <row r="144" spans="1:5" x14ac:dyDescent="0.35">
      <c r="A144" s="70" t="s">
        <v>429</v>
      </c>
      <c r="B144" s="60" t="s">
        <v>142</v>
      </c>
      <c r="C144" s="60" t="s">
        <v>430</v>
      </c>
      <c r="D144" s="70">
        <v>106734</v>
      </c>
      <c r="E144" s="70">
        <v>10004721</v>
      </c>
    </row>
    <row r="145" spans="1:5" x14ac:dyDescent="0.35">
      <c r="A145" s="70" t="s">
        <v>431</v>
      </c>
      <c r="B145" s="60" t="s">
        <v>142</v>
      </c>
      <c r="C145" s="60" t="s">
        <v>432</v>
      </c>
      <c r="D145" s="70">
        <v>106442</v>
      </c>
      <c r="E145" s="70">
        <v>10004718</v>
      </c>
    </row>
    <row r="146" spans="1:5" x14ac:dyDescent="0.35">
      <c r="A146" s="70" t="s">
        <v>433</v>
      </c>
      <c r="B146" s="60" t="s">
        <v>142</v>
      </c>
      <c r="C146" s="60" t="s">
        <v>434</v>
      </c>
      <c r="D146" s="70">
        <v>106970</v>
      </c>
      <c r="E146" s="70">
        <v>10007011</v>
      </c>
    </row>
    <row r="147" spans="1:5" x14ac:dyDescent="0.35">
      <c r="A147" s="70" t="s">
        <v>435</v>
      </c>
      <c r="B147" s="60" t="s">
        <v>186</v>
      </c>
      <c r="C147" s="60" t="s">
        <v>436</v>
      </c>
      <c r="D147" s="70">
        <v>108314</v>
      </c>
      <c r="E147" s="70">
        <v>10004739</v>
      </c>
    </row>
    <row r="148" spans="1:5" x14ac:dyDescent="0.35">
      <c r="A148" s="70" t="s">
        <v>437</v>
      </c>
      <c r="B148" s="60" t="s">
        <v>149</v>
      </c>
      <c r="C148" s="60" t="s">
        <v>438</v>
      </c>
      <c r="D148" s="70">
        <v>108362</v>
      </c>
      <c r="E148" s="70">
        <v>10004785</v>
      </c>
    </row>
    <row r="149" spans="1:5" x14ac:dyDescent="0.35">
      <c r="A149" s="70" t="s">
        <v>439</v>
      </c>
      <c r="B149" s="60" t="s">
        <v>142</v>
      </c>
      <c r="C149" s="60" t="s">
        <v>440</v>
      </c>
      <c r="D149" s="70">
        <v>106985</v>
      </c>
      <c r="E149" s="70">
        <v>10004577</v>
      </c>
    </row>
    <row r="150" spans="1:5" x14ac:dyDescent="0.35">
      <c r="A150" s="70" t="s">
        <v>441</v>
      </c>
      <c r="B150" s="60" t="s">
        <v>142</v>
      </c>
      <c r="C150" s="60" t="s">
        <v>442</v>
      </c>
      <c r="D150" s="70">
        <v>108498</v>
      </c>
      <c r="E150" s="70">
        <v>10004835</v>
      </c>
    </row>
    <row r="151" spans="1:5" x14ac:dyDescent="0.35">
      <c r="A151" s="70" t="s">
        <v>443</v>
      </c>
      <c r="B151" s="60" t="s">
        <v>149</v>
      </c>
      <c r="C151" s="60" t="s">
        <v>444</v>
      </c>
      <c r="D151" s="70">
        <v>108405</v>
      </c>
      <c r="E151" s="70">
        <v>10005072</v>
      </c>
    </row>
    <row r="152" spans="1:5" x14ac:dyDescent="0.35">
      <c r="A152" s="70" t="s">
        <v>445</v>
      </c>
      <c r="B152" s="60" t="s">
        <v>161</v>
      </c>
      <c r="C152" s="60" t="s">
        <v>446</v>
      </c>
      <c r="D152" s="70">
        <v>106509</v>
      </c>
      <c r="E152" s="70">
        <v>10004676</v>
      </c>
    </row>
    <row r="153" spans="1:5" x14ac:dyDescent="0.35">
      <c r="A153" s="70" t="s">
        <v>447</v>
      </c>
      <c r="B153" s="60" t="s">
        <v>152</v>
      </c>
      <c r="C153" s="60" t="s">
        <v>448</v>
      </c>
      <c r="D153" s="70">
        <v>107525</v>
      </c>
      <c r="E153" s="70">
        <v>10005124</v>
      </c>
    </row>
    <row r="154" spans="1:5" x14ac:dyDescent="0.35">
      <c r="A154" s="70" t="s">
        <v>449</v>
      </c>
      <c r="B154" s="60" t="s">
        <v>149</v>
      </c>
      <c r="C154" s="60" t="s">
        <v>450</v>
      </c>
      <c r="D154" s="70">
        <v>108402</v>
      </c>
      <c r="E154" s="70">
        <v>10005158</v>
      </c>
    </row>
    <row r="155" spans="1:5" x14ac:dyDescent="0.35">
      <c r="A155" s="70" t="s">
        <v>451</v>
      </c>
      <c r="B155" s="60" t="s">
        <v>161</v>
      </c>
      <c r="C155" s="60" t="s">
        <v>452</v>
      </c>
      <c r="D155" s="70">
        <v>108623</v>
      </c>
      <c r="E155" s="70">
        <v>10005200</v>
      </c>
    </row>
    <row r="156" spans="1:5" x14ac:dyDescent="0.35">
      <c r="A156" s="70" t="s">
        <v>453</v>
      </c>
      <c r="B156" s="60" t="s">
        <v>149</v>
      </c>
      <c r="C156" s="60" t="s">
        <v>454</v>
      </c>
      <c r="D156" s="70">
        <v>108400</v>
      </c>
      <c r="E156" s="70">
        <v>10005325</v>
      </c>
    </row>
    <row r="157" spans="1:5" x14ac:dyDescent="0.35">
      <c r="A157" s="70" t="s">
        <v>455</v>
      </c>
      <c r="B157" s="60" t="s">
        <v>152</v>
      </c>
      <c r="C157" s="60" t="s">
        <v>456</v>
      </c>
      <c r="D157" s="70">
        <v>105301</v>
      </c>
      <c r="E157" s="70">
        <v>10005404</v>
      </c>
    </row>
    <row r="158" spans="1:5" x14ac:dyDescent="0.35">
      <c r="A158" s="70" t="s">
        <v>457</v>
      </c>
      <c r="B158" s="60" t="s">
        <v>149</v>
      </c>
      <c r="C158" s="60" t="s">
        <v>458</v>
      </c>
      <c r="D158" s="70">
        <v>107537</v>
      </c>
      <c r="E158" s="70">
        <v>10005465</v>
      </c>
    </row>
    <row r="159" spans="1:5" x14ac:dyDescent="0.35">
      <c r="A159" s="70" t="s">
        <v>459</v>
      </c>
      <c r="B159" s="60" t="s">
        <v>186</v>
      </c>
      <c r="C159" s="60" t="s">
        <v>460</v>
      </c>
      <c r="D159" s="70">
        <v>108353</v>
      </c>
      <c r="E159" s="70">
        <v>10003088</v>
      </c>
    </row>
    <row r="160" spans="1:5" x14ac:dyDescent="0.35">
      <c r="A160" s="70" t="s">
        <v>461</v>
      </c>
      <c r="B160" s="60" t="s">
        <v>161</v>
      </c>
      <c r="C160" s="60" t="s">
        <v>462</v>
      </c>
      <c r="D160" s="70">
        <v>108449</v>
      </c>
      <c r="E160" s="70">
        <v>10005469</v>
      </c>
    </row>
    <row r="161" spans="1:5" x14ac:dyDescent="0.35">
      <c r="A161" s="70" t="s">
        <v>463</v>
      </c>
      <c r="B161" s="60" t="s">
        <v>142</v>
      </c>
      <c r="C161" s="60" t="s">
        <v>464</v>
      </c>
      <c r="D161" s="70">
        <v>106896</v>
      </c>
      <c r="E161" s="70">
        <v>10002863</v>
      </c>
    </row>
    <row r="162" spans="1:5" x14ac:dyDescent="0.35">
      <c r="A162" s="70" t="s">
        <v>465</v>
      </c>
      <c r="B162" s="60" t="s">
        <v>142</v>
      </c>
      <c r="C162" s="60" t="s">
        <v>466</v>
      </c>
      <c r="D162" s="70">
        <v>108493</v>
      </c>
      <c r="E162" s="70">
        <v>10005534</v>
      </c>
    </row>
    <row r="163" spans="1:5" x14ac:dyDescent="0.35">
      <c r="A163" s="70" t="s">
        <v>467</v>
      </c>
      <c r="B163" s="60" t="s">
        <v>161</v>
      </c>
      <c r="C163" s="60" t="s">
        <v>468</v>
      </c>
      <c r="D163" s="70">
        <v>108625</v>
      </c>
      <c r="E163" s="70">
        <v>10005575</v>
      </c>
    </row>
    <row r="164" spans="1:5" x14ac:dyDescent="0.35">
      <c r="A164" s="70" t="s">
        <v>469</v>
      </c>
      <c r="B164" s="60" t="s">
        <v>186</v>
      </c>
      <c r="C164" s="60" t="s">
        <v>470</v>
      </c>
      <c r="D164" s="70">
        <v>108348</v>
      </c>
      <c r="E164" s="70">
        <v>10005583</v>
      </c>
    </row>
    <row r="165" spans="1:5" x14ac:dyDescent="0.35">
      <c r="A165" s="70" t="s">
        <v>471</v>
      </c>
      <c r="B165" s="60" t="s">
        <v>142</v>
      </c>
      <c r="C165" s="60" t="s">
        <v>472</v>
      </c>
      <c r="D165" s="70">
        <v>108406</v>
      </c>
      <c r="E165" s="70">
        <v>10005032</v>
      </c>
    </row>
    <row r="166" spans="1:5" x14ac:dyDescent="0.35">
      <c r="A166" s="70" t="s">
        <v>473</v>
      </c>
      <c r="B166" s="60" t="s">
        <v>142</v>
      </c>
      <c r="C166" s="60" t="s">
        <v>474</v>
      </c>
      <c r="D166" s="70">
        <v>105110</v>
      </c>
      <c r="E166" s="70">
        <v>10005669</v>
      </c>
    </row>
    <row r="167" spans="1:5" x14ac:dyDescent="0.35">
      <c r="A167" s="70" t="s">
        <v>475</v>
      </c>
      <c r="B167" s="60" t="s">
        <v>149</v>
      </c>
      <c r="C167" s="60" t="s">
        <v>476</v>
      </c>
      <c r="D167" s="70">
        <v>108396</v>
      </c>
      <c r="E167" s="70">
        <v>10005687</v>
      </c>
    </row>
    <row r="168" spans="1:5" x14ac:dyDescent="0.35">
      <c r="A168" s="70" t="s">
        <v>477</v>
      </c>
      <c r="B168" s="60" t="s">
        <v>161</v>
      </c>
      <c r="C168" s="60" t="s">
        <v>478</v>
      </c>
      <c r="D168" s="70">
        <v>105583</v>
      </c>
      <c r="E168" s="70">
        <v>10005741</v>
      </c>
    </row>
    <row r="169" spans="1:5" x14ac:dyDescent="0.35">
      <c r="A169" s="70" t="s">
        <v>479</v>
      </c>
      <c r="B169" s="60" t="s">
        <v>161</v>
      </c>
      <c r="C169" s="60" t="s">
        <v>480</v>
      </c>
      <c r="D169" s="70">
        <v>106996</v>
      </c>
      <c r="E169" s="70">
        <v>10005788</v>
      </c>
    </row>
    <row r="170" spans="1:5" x14ac:dyDescent="0.35">
      <c r="A170" s="70" t="s">
        <v>481</v>
      </c>
      <c r="B170" s="60" t="s">
        <v>142</v>
      </c>
      <c r="C170" s="60" t="s">
        <v>482</v>
      </c>
      <c r="D170" s="70">
        <v>107170</v>
      </c>
      <c r="E170" s="70">
        <v>10005810</v>
      </c>
    </row>
    <row r="171" spans="1:5" x14ac:dyDescent="0.35">
      <c r="A171" s="70" t="s">
        <v>483</v>
      </c>
      <c r="B171" s="60" t="s">
        <v>149</v>
      </c>
      <c r="C171" s="60" t="s">
        <v>484</v>
      </c>
      <c r="D171" s="70">
        <v>108391</v>
      </c>
      <c r="E171" s="70">
        <v>10005822</v>
      </c>
    </row>
    <row r="172" spans="1:5" x14ac:dyDescent="0.35">
      <c r="A172" s="70" t="s">
        <v>485</v>
      </c>
      <c r="B172" s="60" t="s">
        <v>149</v>
      </c>
      <c r="C172" s="60" t="s">
        <v>486</v>
      </c>
      <c r="D172" s="70">
        <v>108393</v>
      </c>
      <c r="E172" s="70">
        <v>10005859</v>
      </c>
    </row>
    <row r="173" spans="1:5" x14ac:dyDescent="0.35">
      <c r="A173" s="70" t="s">
        <v>487</v>
      </c>
      <c r="B173" s="60" t="s">
        <v>142</v>
      </c>
      <c r="C173" s="60" t="s">
        <v>488</v>
      </c>
      <c r="D173" s="70">
        <v>106366</v>
      </c>
      <c r="E173" s="70">
        <v>10005946</v>
      </c>
    </row>
    <row r="174" spans="1:5" x14ac:dyDescent="0.35">
      <c r="A174" s="70" t="s">
        <v>489</v>
      </c>
      <c r="B174" s="60" t="s">
        <v>142</v>
      </c>
      <c r="C174" s="60" t="s">
        <v>490</v>
      </c>
      <c r="D174" s="70">
        <v>105074</v>
      </c>
      <c r="E174" s="70">
        <v>10005967</v>
      </c>
    </row>
    <row r="175" spans="1:5" x14ac:dyDescent="0.35">
      <c r="A175" s="70" t="s">
        <v>491</v>
      </c>
      <c r="B175" s="60" t="s">
        <v>186</v>
      </c>
      <c r="C175" s="60" t="s">
        <v>492</v>
      </c>
      <c r="D175" s="70">
        <v>106790</v>
      </c>
      <c r="E175" s="70">
        <v>10003755</v>
      </c>
    </row>
    <row r="176" spans="1:5" x14ac:dyDescent="0.35">
      <c r="A176" s="70" t="s">
        <v>493</v>
      </c>
      <c r="B176" s="60" t="s">
        <v>142</v>
      </c>
      <c r="C176" s="60" t="s">
        <v>494</v>
      </c>
      <c r="D176" s="70">
        <v>108487</v>
      </c>
      <c r="E176" s="70">
        <v>10005977</v>
      </c>
    </row>
    <row r="177" spans="1:5" x14ac:dyDescent="0.35">
      <c r="A177" s="70" t="s">
        <v>495</v>
      </c>
      <c r="B177" s="60" t="s">
        <v>142</v>
      </c>
      <c r="C177" s="60" t="s">
        <v>496</v>
      </c>
      <c r="D177" s="70">
        <v>106569</v>
      </c>
      <c r="E177" s="70">
        <v>10005981</v>
      </c>
    </row>
    <row r="178" spans="1:5" x14ac:dyDescent="0.35">
      <c r="A178" s="70" t="s">
        <v>497</v>
      </c>
      <c r="B178" s="60" t="s">
        <v>142</v>
      </c>
      <c r="C178" s="60" t="s">
        <v>498</v>
      </c>
      <c r="D178" s="70">
        <v>121223</v>
      </c>
      <c r="E178" s="70">
        <v>10036143</v>
      </c>
    </row>
    <row r="179" spans="1:5" x14ac:dyDescent="0.35">
      <c r="A179" s="70" t="s">
        <v>499</v>
      </c>
      <c r="B179" s="60" t="s">
        <v>142</v>
      </c>
      <c r="C179" s="60" t="s">
        <v>500</v>
      </c>
      <c r="D179" s="70">
        <v>118791</v>
      </c>
      <c r="E179" s="70">
        <v>10023526</v>
      </c>
    </row>
    <row r="180" spans="1:5" x14ac:dyDescent="0.35">
      <c r="A180" s="70" t="s">
        <v>501</v>
      </c>
      <c r="B180" s="60" t="s">
        <v>142</v>
      </c>
      <c r="C180" s="60" t="s">
        <v>502</v>
      </c>
      <c r="D180" s="70">
        <v>108514</v>
      </c>
      <c r="E180" s="70">
        <v>10003674</v>
      </c>
    </row>
    <row r="181" spans="1:5" x14ac:dyDescent="0.35">
      <c r="A181" s="70" t="s">
        <v>503</v>
      </c>
      <c r="B181" s="60" t="s">
        <v>142</v>
      </c>
      <c r="C181" s="60" t="s">
        <v>504</v>
      </c>
      <c r="D181" s="70">
        <v>106614</v>
      </c>
      <c r="E181" s="70">
        <v>10006020</v>
      </c>
    </row>
    <row r="182" spans="1:5" x14ac:dyDescent="0.35">
      <c r="A182" s="70" t="s">
        <v>505</v>
      </c>
      <c r="B182" s="60" t="s">
        <v>142</v>
      </c>
      <c r="C182" s="60" t="s">
        <v>506</v>
      </c>
      <c r="D182" s="70">
        <v>106934</v>
      </c>
      <c r="E182" s="70">
        <v>10006038</v>
      </c>
    </row>
    <row r="183" spans="1:5" x14ac:dyDescent="0.35">
      <c r="A183" s="70" t="s">
        <v>507</v>
      </c>
      <c r="B183" s="60" t="s">
        <v>152</v>
      </c>
      <c r="C183" s="60" t="s">
        <v>508</v>
      </c>
      <c r="D183" s="70">
        <v>106618</v>
      </c>
      <c r="E183" s="70">
        <v>10006050</v>
      </c>
    </row>
    <row r="184" spans="1:5" x14ac:dyDescent="0.35">
      <c r="A184" s="70" t="s">
        <v>509</v>
      </c>
      <c r="B184" s="60" t="s">
        <v>149</v>
      </c>
      <c r="C184" s="60" t="s">
        <v>510</v>
      </c>
      <c r="D184" s="70">
        <v>108361</v>
      </c>
      <c r="E184" s="70">
        <v>10006130</v>
      </c>
    </row>
    <row r="185" spans="1:5" x14ac:dyDescent="0.35">
      <c r="A185" s="70" t="s">
        <v>511</v>
      </c>
      <c r="B185" s="60" t="s">
        <v>149</v>
      </c>
      <c r="C185" s="60" t="s">
        <v>512</v>
      </c>
      <c r="D185" s="70">
        <v>108360</v>
      </c>
      <c r="E185" s="70">
        <v>10006135</v>
      </c>
    </row>
    <row r="186" spans="1:5" x14ac:dyDescent="0.35">
      <c r="A186" s="70" t="s">
        <v>513</v>
      </c>
      <c r="B186" s="60" t="s">
        <v>149</v>
      </c>
      <c r="C186" s="60" t="s">
        <v>514</v>
      </c>
      <c r="D186" s="70">
        <v>108359</v>
      </c>
      <c r="E186" s="70">
        <v>10006148</v>
      </c>
    </row>
    <row r="187" spans="1:5" x14ac:dyDescent="0.35">
      <c r="A187" s="70" t="s">
        <v>515</v>
      </c>
      <c r="B187" s="60" t="s">
        <v>149</v>
      </c>
      <c r="C187" s="60" t="s">
        <v>516</v>
      </c>
      <c r="D187" s="70">
        <v>108358</v>
      </c>
      <c r="E187" s="70">
        <v>10008007</v>
      </c>
    </row>
    <row r="188" spans="1:5" x14ac:dyDescent="0.35">
      <c r="A188" s="70" t="s">
        <v>517</v>
      </c>
      <c r="B188" s="60" t="s">
        <v>142</v>
      </c>
      <c r="C188" s="60" t="s">
        <v>518</v>
      </c>
      <c r="D188" s="70">
        <v>105907</v>
      </c>
      <c r="E188" s="70">
        <v>10006174</v>
      </c>
    </row>
    <row r="189" spans="1:5" x14ac:dyDescent="0.35">
      <c r="A189" s="70" t="s">
        <v>519</v>
      </c>
      <c r="B189" s="60" t="s">
        <v>149</v>
      </c>
      <c r="C189" s="60" t="s">
        <v>520</v>
      </c>
      <c r="D189" s="70">
        <v>108328</v>
      </c>
      <c r="E189" s="70">
        <v>10006195</v>
      </c>
    </row>
    <row r="190" spans="1:5" x14ac:dyDescent="0.35">
      <c r="A190" s="70" t="s">
        <v>521</v>
      </c>
      <c r="B190" s="60" t="s">
        <v>149</v>
      </c>
      <c r="C190" s="60" t="s">
        <v>522</v>
      </c>
      <c r="D190" s="70">
        <v>108339</v>
      </c>
      <c r="E190" s="70">
        <v>10006226</v>
      </c>
    </row>
    <row r="191" spans="1:5" x14ac:dyDescent="0.35">
      <c r="A191" s="70" t="s">
        <v>523</v>
      </c>
      <c r="B191" s="60" t="s">
        <v>161</v>
      </c>
      <c r="C191" s="60" t="s">
        <v>524</v>
      </c>
      <c r="D191" s="70">
        <v>108462</v>
      </c>
      <c r="E191" s="70">
        <v>10009439</v>
      </c>
    </row>
    <row r="192" spans="1:5" x14ac:dyDescent="0.35">
      <c r="A192" s="70" t="s">
        <v>525</v>
      </c>
      <c r="B192" s="60" t="s">
        <v>142</v>
      </c>
      <c r="C192" s="60" t="s">
        <v>526</v>
      </c>
      <c r="D192" s="70">
        <v>107044</v>
      </c>
      <c r="E192" s="70">
        <v>10006349</v>
      </c>
    </row>
    <row r="193" spans="1:5" x14ac:dyDescent="0.35">
      <c r="A193" s="70" t="s">
        <v>527</v>
      </c>
      <c r="B193" s="60" t="s">
        <v>161</v>
      </c>
      <c r="C193" s="60" t="s">
        <v>528</v>
      </c>
      <c r="D193" s="70">
        <v>107542</v>
      </c>
      <c r="E193" s="70">
        <v>10006378</v>
      </c>
    </row>
    <row r="194" spans="1:5" x14ac:dyDescent="0.35">
      <c r="A194" s="70" t="s">
        <v>529</v>
      </c>
      <c r="B194" s="60" t="s">
        <v>142</v>
      </c>
      <c r="C194" s="60" t="s">
        <v>530</v>
      </c>
      <c r="D194" s="70">
        <v>107059</v>
      </c>
      <c r="E194" s="70">
        <v>10006398</v>
      </c>
    </row>
    <row r="195" spans="1:5" x14ac:dyDescent="0.35">
      <c r="A195" s="70" t="s">
        <v>531</v>
      </c>
      <c r="B195" s="60" t="s">
        <v>142</v>
      </c>
      <c r="C195" s="60" t="s">
        <v>532</v>
      </c>
      <c r="D195" s="70">
        <v>109044</v>
      </c>
      <c r="E195" s="70">
        <v>10006463</v>
      </c>
    </row>
    <row r="196" spans="1:5" x14ac:dyDescent="0.35">
      <c r="A196" s="70" t="s">
        <v>533</v>
      </c>
      <c r="B196" s="60" t="s">
        <v>142</v>
      </c>
      <c r="C196" s="60" t="s">
        <v>534</v>
      </c>
      <c r="D196" s="70">
        <v>106868</v>
      </c>
      <c r="E196" s="70">
        <v>10006494</v>
      </c>
    </row>
    <row r="197" spans="1:5" x14ac:dyDescent="0.35">
      <c r="A197" s="70" t="s">
        <v>535</v>
      </c>
      <c r="B197" s="60" t="s">
        <v>142</v>
      </c>
      <c r="C197" s="60" t="s">
        <v>536</v>
      </c>
      <c r="D197" s="70">
        <v>107632</v>
      </c>
      <c r="E197" s="70">
        <v>10007938</v>
      </c>
    </row>
    <row r="198" spans="1:5" x14ac:dyDescent="0.35">
      <c r="A198" s="70" t="s">
        <v>537</v>
      </c>
      <c r="B198" s="60" t="s">
        <v>142</v>
      </c>
      <c r="C198" s="60" t="s">
        <v>538</v>
      </c>
      <c r="D198" s="70">
        <v>107010</v>
      </c>
      <c r="E198" s="70">
        <v>10006549</v>
      </c>
    </row>
    <row r="199" spans="1:5" x14ac:dyDescent="0.35">
      <c r="A199" s="70" t="s">
        <v>539</v>
      </c>
      <c r="B199" s="60" t="s">
        <v>149</v>
      </c>
      <c r="C199" s="60" t="s">
        <v>540</v>
      </c>
      <c r="D199" s="70">
        <v>108433</v>
      </c>
      <c r="E199" s="70">
        <v>10000756</v>
      </c>
    </row>
    <row r="200" spans="1:5" x14ac:dyDescent="0.35">
      <c r="A200" s="70" t="s">
        <v>541</v>
      </c>
      <c r="B200" s="60" t="s">
        <v>149</v>
      </c>
      <c r="C200" s="60" t="s">
        <v>542</v>
      </c>
      <c r="D200" s="70">
        <v>112729</v>
      </c>
      <c r="E200" s="70">
        <v>10006813</v>
      </c>
    </row>
    <row r="201" spans="1:5" x14ac:dyDescent="0.35">
      <c r="A201" s="70" t="s">
        <v>543</v>
      </c>
      <c r="B201" s="60" t="s">
        <v>186</v>
      </c>
      <c r="C201" s="60" t="s">
        <v>544</v>
      </c>
      <c r="D201" s="70">
        <v>108356</v>
      </c>
      <c r="E201" s="70">
        <v>10001463</v>
      </c>
    </row>
    <row r="202" spans="1:5" x14ac:dyDescent="0.35">
      <c r="A202" s="70" t="s">
        <v>545</v>
      </c>
      <c r="B202" s="60" t="s">
        <v>142</v>
      </c>
      <c r="C202" s="60" t="s">
        <v>546</v>
      </c>
      <c r="D202" s="70">
        <v>106915</v>
      </c>
      <c r="E202" s="70">
        <v>10003955</v>
      </c>
    </row>
    <row r="203" spans="1:5" x14ac:dyDescent="0.35">
      <c r="A203" s="70" t="s">
        <v>547</v>
      </c>
      <c r="B203" s="60" t="s">
        <v>149</v>
      </c>
      <c r="C203" s="60" t="s">
        <v>548</v>
      </c>
      <c r="D203" s="70">
        <v>108368</v>
      </c>
      <c r="E203" s="70">
        <v>10001550</v>
      </c>
    </row>
    <row r="204" spans="1:5" x14ac:dyDescent="0.35">
      <c r="A204" s="70" t="s">
        <v>549</v>
      </c>
      <c r="B204" s="60" t="s">
        <v>142</v>
      </c>
      <c r="C204" s="60" t="s">
        <v>550</v>
      </c>
      <c r="D204" s="70">
        <v>105939</v>
      </c>
      <c r="E204" s="70">
        <v>10007916</v>
      </c>
    </row>
    <row r="205" spans="1:5" x14ac:dyDescent="0.35">
      <c r="A205" s="70" t="s">
        <v>551</v>
      </c>
      <c r="B205" s="60" t="s">
        <v>142</v>
      </c>
      <c r="C205" s="60" t="s">
        <v>552</v>
      </c>
      <c r="D205" s="70">
        <v>107083</v>
      </c>
      <c r="E205" s="70">
        <v>10006341</v>
      </c>
    </row>
    <row r="206" spans="1:5" x14ac:dyDescent="0.35">
      <c r="A206" s="70" t="s">
        <v>553</v>
      </c>
      <c r="B206" s="60" t="s">
        <v>149</v>
      </c>
      <c r="C206" s="60" t="s">
        <v>554</v>
      </c>
      <c r="D206" s="70">
        <v>105028</v>
      </c>
      <c r="E206" s="70">
        <v>10003011</v>
      </c>
    </row>
    <row r="207" spans="1:5" x14ac:dyDescent="0.35">
      <c r="A207" s="70" t="s">
        <v>555</v>
      </c>
      <c r="B207" s="60" t="s">
        <v>321</v>
      </c>
      <c r="C207" s="60" t="s">
        <v>556</v>
      </c>
      <c r="D207" s="70">
        <v>108536</v>
      </c>
      <c r="E207" s="70">
        <v>10001503</v>
      </c>
    </row>
    <row r="208" spans="1:5" x14ac:dyDescent="0.35">
      <c r="A208" s="70" t="s">
        <v>557</v>
      </c>
      <c r="B208" s="60" t="s">
        <v>142</v>
      </c>
      <c r="C208" s="60" t="s">
        <v>558</v>
      </c>
      <c r="D208" s="70">
        <v>110734</v>
      </c>
      <c r="E208" s="70">
        <v>10006770</v>
      </c>
    </row>
    <row r="209" spans="1:5" x14ac:dyDescent="0.35">
      <c r="A209" s="70" t="s">
        <v>559</v>
      </c>
      <c r="B209" s="60" t="s">
        <v>149</v>
      </c>
      <c r="C209" s="60" t="s">
        <v>560</v>
      </c>
      <c r="D209" s="70">
        <v>108395</v>
      </c>
      <c r="E209" s="70">
        <v>10005881</v>
      </c>
    </row>
    <row r="210" spans="1:5" x14ac:dyDescent="0.35">
      <c r="A210" s="70" t="s">
        <v>561</v>
      </c>
      <c r="B210" s="60" t="s">
        <v>152</v>
      </c>
      <c r="C210" s="60" t="s">
        <v>562</v>
      </c>
      <c r="D210" s="70">
        <v>106763</v>
      </c>
      <c r="E210" s="70">
        <v>10000952</v>
      </c>
    </row>
    <row r="211" spans="1:5" x14ac:dyDescent="0.35">
      <c r="A211" s="70" t="s">
        <v>563</v>
      </c>
      <c r="B211" s="60" t="s">
        <v>142</v>
      </c>
      <c r="C211" s="60" t="s">
        <v>564</v>
      </c>
      <c r="D211" s="70">
        <v>108484</v>
      </c>
      <c r="E211" s="70">
        <v>10005998</v>
      </c>
    </row>
    <row r="212" spans="1:5" x14ac:dyDescent="0.35">
      <c r="A212" s="70" t="s">
        <v>565</v>
      </c>
      <c r="B212" s="60" t="s">
        <v>142</v>
      </c>
      <c r="C212" s="60" t="s">
        <v>566</v>
      </c>
      <c r="D212" s="70">
        <v>107745</v>
      </c>
      <c r="E212" s="70">
        <v>10002107</v>
      </c>
    </row>
    <row r="213" spans="1:5" x14ac:dyDescent="0.35">
      <c r="A213" s="71" t="s">
        <v>567</v>
      </c>
      <c r="B213" s="60" t="s">
        <v>142</v>
      </c>
      <c r="C213" s="60" t="s">
        <v>568</v>
      </c>
      <c r="D213" s="70">
        <v>105653</v>
      </c>
      <c r="E213" s="70">
        <v>10007455</v>
      </c>
    </row>
    <row r="214" spans="1:5" x14ac:dyDescent="0.35">
      <c r="A214" s="70" t="s">
        <v>569</v>
      </c>
      <c r="B214" s="60" t="s">
        <v>161</v>
      </c>
      <c r="C214" s="60" t="s">
        <v>570</v>
      </c>
      <c r="D214" s="70">
        <v>108441</v>
      </c>
      <c r="E214" s="70">
        <v>10007063</v>
      </c>
    </row>
    <row r="215" spans="1:5" x14ac:dyDescent="0.35">
      <c r="A215" s="70" t="s">
        <v>571</v>
      </c>
      <c r="B215" s="60" t="s">
        <v>161</v>
      </c>
      <c r="C215" s="60" t="s">
        <v>572</v>
      </c>
      <c r="D215" s="70">
        <v>107121</v>
      </c>
      <c r="E215" s="70">
        <v>10005999</v>
      </c>
    </row>
    <row r="216" spans="1:5" x14ac:dyDescent="0.35">
      <c r="A216" s="70" t="s">
        <v>573</v>
      </c>
      <c r="B216" s="60" t="s">
        <v>142</v>
      </c>
      <c r="C216" s="60" t="s">
        <v>574</v>
      </c>
      <c r="D216" s="70">
        <v>108340</v>
      </c>
      <c r="E216" s="70">
        <v>10005736</v>
      </c>
    </row>
    <row r="217" spans="1:5" x14ac:dyDescent="0.35">
      <c r="A217" s="70" t="s">
        <v>575</v>
      </c>
      <c r="B217" s="60" t="s">
        <v>142</v>
      </c>
      <c r="C217" s="60" t="s">
        <v>576</v>
      </c>
      <c r="D217" s="70">
        <v>108526</v>
      </c>
      <c r="E217" s="70">
        <v>10001476</v>
      </c>
    </row>
    <row r="218" spans="1:5" x14ac:dyDescent="0.35">
      <c r="A218" s="70" t="s">
        <v>577</v>
      </c>
      <c r="B218" s="60" t="s">
        <v>149</v>
      </c>
      <c r="C218" s="60" t="s">
        <v>578</v>
      </c>
      <c r="D218" s="70">
        <v>108380</v>
      </c>
      <c r="E218" s="70">
        <v>10007212</v>
      </c>
    </row>
    <row r="219" spans="1:5" x14ac:dyDescent="0.35">
      <c r="A219" s="70" t="s">
        <v>579</v>
      </c>
      <c r="B219" s="60" t="s">
        <v>161</v>
      </c>
      <c r="C219" s="60" t="s">
        <v>580</v>
      </c>
      <c r="D219" s="70">
        <v>108440</v>
      </c>
      <c r="E219" s="70">
        <v>10007289</v>
      </c>
    </row>
    <row r="220" spans="1:5" x14ac:dyDescent="0.35">
      <c r="A220" s="70" t="s">
        <v>581</v>
      </c>
      <c r="B220" s="60" t="s">
        <v>142</v>
      </c>
      <c r="C220" s="60" t="s">
        <v>582</v>
      </c>
      <c r="D220" s="70">
        <v>105118</v>
      </c>
      <c r="E220" s="70">
        <v>10007315</v>
      </c>
    </row>
    <row r="221" spans="1:5" x14ac:dyDescent="0.35">
      <c r="A221" s="70" t="s">
        <v>583</v>
      </c>
      <c r="B221" s="60" t="s">
        <v>142</v>
      </c>
      <c r="C221" s="60" t="s">
        <v>584</v>
      </c>
      <c r="D221" s="70">
        <v>108478</v>
      </c>
      <c r="E221" s="70">
        <v>10007321</v>
      </c>
    </row>
    <row r="222" spans="1:5" x14ac:dyDescent="0.35">
      <c r="A222" s="70" t="s">
        <v>585</v>
      </c>
      <c r="B222" s="60" t="s">
        <v>142</v>
      </c>
      <c r="C222" s="60" t="s">
        <v>586</v>
      </c>
      <c r="D222" s="70">
        <v>106427</v>
      </c>
      <c r="E222" s="70">
        <v>10007339</v>
      </c>
    </row>
    <row r="223" spans="1:5" x14ac:dyDescent="0.35">
      <c r="A223" s="70" t="s">
        <v>587</v>
      </c>
      <c r="B223" s="60" t="s">
        <v>142</v>
      </c>
      <c r="C223" s="60" t="s">
        <v>588</v>
      </c>
      <c r="D223" s="70">
        <v>106448</v>
      </c>
      <c r="E223" s="70">
        <v>10007859</v>
      </c>
    </row>
    <row r="224" spans="1:5" x14ac:dyDescent="0.35">
      <c r="A224" s="70" t="s">
        <v>589</v>
      </c>
      <c r="B224" s="60" t="s">
        <v>142</v>
      </c>
      <c r="C224" s="60" t="s">
        <v>590</v>
      </c>
      <c r="D224" s="70">
        <v>108477</v>
      </c>
      <c r="E224" s="70">
        <v>10007417</v>
      </c>
    </row>
    <row r="225" spans="1:5" x14ac:dyDescent="0.35">
      <c r="A225" s="70" t="s">
        <v>591</v>
      </c>
      <c r="B225" s="60" t="s">
        <v>142</v>
      </c>
      <c r="C225" s="60" t="s">
        <v>592</v>
      </c>
      <c r="D225" s="70">
        <v>105603</v>
      </c>
      <c r="E225" s="70">
        <v>10007419</v>
      </c>
    </row>
    <row r="226" spans="1:5" x14ac:dyDescent="0.35">
      <c r="A226" s="70" t="s">
        <v>593</v>
      </c>
      <c r="B226" s="60" t="s">
        <v>142</v>
      </c>
      <c r="C226" s="60" t="s">
        <v>594</v>
      </c>
      <c r="D226" s="70">
        <v>107960</v>
      </c>
      <c r="E226" s="70">
        <v>10007427</v>
      </c>
    </row>
    <row r="227" spans="1:5" x14ac:dyDescent="0.35">
      <c r="A227" s="70" t="s">
        <v>595</v>
      </c>
      <c r="B227" s="60" t="s">
        <v>142</v>
      </c>
      <c r="C227" s="60" t="s">
        <v>596</v>
      </c>
      <c r="D227" s="70">
        <v>105936</v>
      </c>
      <c r="E227" s="70">
        <v>10007431</v>
      </c>
    </row>
    <row r="228" spans="1:5" x14ac:dyDescent="0.35">
      <c r="A228" s="70" t="s">
        <v>597</v>
      </c>
      <c r="B228" s="60" t="s">
        <v>142</v>
      </c>
      <c r="C228" s="60" t="s">
        <v>598</v>
      </c>
      <c r="D228" s="70">
        <v>107143</v>
      </c>
      <c r="E228" s="70">
        <v>10007434</v>
      </c>
    </row>
    <row r="229" spans="1:5" x14ac:dyDescent="0.35">
      <c r="A229" s="70" t="s">
        <v>599</v>
      </c>
      <c r="B229" s="60" t="s">
        <v>142</v>
      </c>
      <c r="C229" s="60" t="s">
        <v>600</v>
      </c>
      <c r="D229" s="70">
        <v>105242</v>
      </c>
      <c r="E229" s="70">
        <v>10007459</v>
      </c>
    </row>
    <row r="230" spans="1:5" x14ac:dyDescent="0.35">
      <c r="A230" s="70" t="s">
        <v>601</v>
      </c>
      <c r="B230" s="60" t="s">
        <v>142</v>
      </c>
      <c r="C230" s="60" t="s">
        <v>602</v>
      </c>
      <c r="D230" s="70">
        <v>106540</v>
      </c>
      <c r="E230" s="70">
        <v>10007469</v>
      </c>
    </row>
    <row r="231" spans="1:5" x14ac:dyDescent="0.35">
      <c r="A231" s="70" t="s">
        <v>603</v>
      </c>
      <c r="B231" s="60" t="s">
        <v>142</v>
      </c>
      <c r="C231" s="60" t="s">
        <v>604</v>
      </c>
      <c r="D231" s="70">
        <v>107785</v>
      </c>
      <c r="E231" s="70">
        <v>10007500</v>
      </c>
    </row>
    <row r="232" spans="1:5" x14ac:dyDescent="0.35">
      <c r="A232" s="70" t="s">
        <v>605</v>
      </c>
      <c r="B232" s="60" t="s">
        <v>149</v>
      </c>
      <c r="C232" s="60" t="s">
        <v>606</v>
      </c>
      <c r="D232" s="70">
        <v>108321</v>
      </c>
      <c r="E232" s="70">
        <v>10007503</v>
      </c>
    </row>
    <row r="233" spans="1:5" x14ac:dyDescent="0.35">
      <c r="A233" s="70" t="s">
        <v>607</v>
      </c>
      <c r="B233" s="60" t="s">
        <v>142</v>
      </c>
      <c r="C233" s="60" t="s">
        <v>608</v>
      </c>
      <c r="D233" s="70">
        <v>109912</v>
      </c>
      <c r="E233" s="70">
        <v>10007527</v>
      </c>
    </row>
    <row r="234" spans="1:5" x14ac:dyDescent="0.35">
      <c r="A234" s="70" t="s">
        <v>609</v>
      </c>
      <c r="B234" s="60" t="s">
        <v>149</v>
      </c>
      <c r="C234" s="60" t="s">
        <v>610</v>
      </c>
      <c r="D234" s="70">
        <v>108378</v>
      </c>
      <c r="E234" s="70">
        <v>10007546</v>
      </c>
    </row>
    <row r="235" spans="1:5" x14ac:dyDescent="0.35">
      <c r="A235" s="70" t="s">
        <v>611</v>
      </c>
      <c r="B235" s="60" t="s">
        <v>142</v>
      </c>
      <c r="C235" s="60" t="s">
        <v>612</v>
      </c>
      <c r="D235" s="70">
        <v>108474</v>
      </c>
      <c r="E235" s="70">
        <v>10007553</v>
      </c>
    </row>
    <row r="236" spans="1:5" x14ac:dyDescent="0.35">
      <c r="A236" s="70" t="s">
        <v>613</v>
      </c>
      <c r="B236" s="60" t="s">
        <v>149</v>
      </c>
      <c r="C236" s="60" t="s">
        <v>614</v>
      </c>
      <c r="D236" s="70">
        <v>108376</v>
      </c>
      <c r="E236" s="70">
        <v>10007609</v>
      </c>
    </row>
    <row r="237" spans="1:5" x14ac:dyDescent="0.35">
      <c r="A237" s="70" t="s">
        <v>615</v>
      </c>
      <c r="B237" s="60" t="s">
        <v>186</v>
      </c>
      <c r="C237" s="60" t="s">
        <v>616</v>
      </c>
      <c r="D237" s="70">
        <v>108347</v>
      </c>
      <c r="E237" s="70">
        <v>10007364</v>
      </c>
    </row>
    <row r="238" spans="1:5" x14ac:dyDescent="0.35">
      <c r="A238" t="s">
        <v>617</v>
      </c>
      <c r="B238" t="s">
        <v>186</v>
      </c>
      <c r="C238" t="s">
        <v>618</v>
      </c>
      <c r="D238">
        <v>108346</v>
      </c>
      <c r="E238">
        <v>10007636</v>
      </c>
    </row>
    <row r="239" spans="1:5" x14ac:dyDescent="0.35">
      <c r="A239" t="s">
        <v>619</v>
      </c>
      <c r="B239" t="s">
        <v>149</v>
      </c>
      <c r="C239" t="s">
        <v>620</v>
      </c>
      <c r="D239">
        <v>108374</v>
      </c>
      <c r="E239">
        <v>10007671</v>
      </c>
    </row>
    <row r="240" spans="1:5" x14ac:dyDescent="0.35">
      <c r="A240" t="s">
        <v>621</v>
      </c>
      <c r="B240" t="s">
        <v>149</v>
      </c>
      <c r="C240" t="s">
        <v>622</v>
      </c>
      <c r="D240">
        <v>108373</v>
      </c>
      <c r="E240">
        <v>10007673</v>
      </c>
    </row>
    <row r="241" spans="1:5" x14ac:dyDescent="0.35">
      <c r="A241" t="s">
        <v>623</v>
      </c>
      <c r="B241" t="s">
        <v>149</v>
      </c>
      <c r="C241" t="s">
        <v>624</v>
      </c>
      <c r="D241">
        <v>108357</v>
      </c>
      <c r="E241">
        <v>10007682</v>
      </c>
    </row>
    <row r="242" spans="1:5" x14ac:dyDescent="0.35">
      <c r="A242" t="s">
        <v>625</v>
      </c>
      <c r="B242" t="s">
        <v>161</v>
      </c>
      <c r="C242" t="s">
        <v>626</v>
      </c>
      <c r="D242">
        <v>107546</v>
      </c>
      <c r="E242">
        <v>10007696</v>
      </c>
    </row>
    <row r="243" spans="1:5" x14ac:dyDescent="0.35">
      <c r="A243" t="s">
        <v>627</v>
      </c>
      <c r="B243" t="s">
        <v>142</v>
      </c>
      <c r="C243" t="s">
        <v>628</v>
      </c>
      <c r="D243">
        <v>107575</v>
      </c>
      <c r="E243">
        <v>10007709</v>
      </c>
    </row>
  </sheetData>
  <sortState xmlns:xlrd2="http://schemas.microsoft.com/office/spreadsheetml/2017/richdata2" ref="A3:E237">
    <sortCondition ref="A3:A237"/>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ae6a5a8-da70-4cee-b283-f9ffc573b243">
      <UserInfo>
        <DisplayName>BLOWER, Andrew</DisplayName>
        <AccountId>97</AccountId>
        <AccountType/>
      </UserInfo>
      <UserInfo>
        <DisplayName>PARKER, Susan</DisplayName>
        <AccountId>91</AccountId>
        <AccountType/>
      </UserInfo>
      <UserInfo>
        <DisplayName>HUNTER, Mike</DisplayName>
        <AccountId>38</AccountId>
        <AccountType/>
      </UserInfo>
      <UserInfo>
        <DisplayName>BROWN, Andrew</DisplayName>
        <AccountId>21</AccountId>
        <AccountType/>
      </UserInfo>
      <UserInfo>
        <DisplayName>TYSON, Katie</DisplayName>
        <AccountId>6</AccountId>
        <AccountType/>
      </UserInfo>
      <UserInfo>
        <DisplayName>CORNELL, Ross</DisplayName>
        <AccountId>24</AccountId>
        <AccountType/>
      </UserInfo>
      <UserInfo>
        <DisplayName>CROFT, Rachel</DisplayName>
        <AccountId>380</AccountId>
        <AccountType/>
      </UserInfo>
      <UserInfo>
        <DisplayName>BOLAND, Richard</DisplayName>
        <AccountId>13</AccountId>
        <AccountType/>
      </UserInfo>
      <UserInfo>
        <DisplayName>MACLOUGHLIN, Mike</DisplayName>
        <AccountId>1209</AccountId>
        <AccountType/>
      </UserInfo>
      <UserInfo>
        <DisplayName>BEWLEY, Stephen</DisplayName>
        <AccountId>49</AccountId>
        <AccountType/>
      </UserInfo>
      <UserInfo>
        <DisplayName>TOLSON, Alison</DisplayName>
        <AccountId>37</AccountId>
        <AccountType/>
      </UserInfo>
      <UserInfo>
        <DisplayName>WORTHY, Antony</DisplayName>
        <AccountId>17</AccountId>
        <AccountType/>
      </UserInfo>
      <UserInfo>
        <DisplayName>PARKES, Stuart</DisplayName>
        <AccountId>1191</AccountId>
        <AccountType/>
      </UserInfo>
      <UserInfo>
        <DisplayName>PALMER, Caswell</DisplayName>
        <AccountId>1449</AccountId>
        <AccountType/>
      </UserInfo>
      <UserInfo>
        <DisplayName>KIELY, Liam</DisplayName>
        <AccountId>4240</AccountId>
        <AccountType/>
      </UserInfo>
      <UserInfo>
        <DisplayName>LOVEDAY, Rebecca</DisplayName>
        <AccountId>838</AccountId>
        <AccountType/>
      </UserInfo>
      <UserInfo>
        <DisplayName>MURRAY, Tara</DisplayName>
        <AccountId>1490</AccountId>
        <AccountType/>
      </UserInfo>
      <UserInfo>
        <DisplayName>TYLEY, Andrew</DisplayName>
        <AccountId>5428</AccountId>
        <AccountType/>
      </UserInfo>
      <UserInfo>
        <DisplayName>EDWARDS, Becky</DisplayName>
        <AccountId>5435</AccountId>
        <AccountType/>
      </UserInfo>
      <UserInfo>
        <DisplayName>HUTCHINSON, Steve</DisplayName>
        <AccountId>5430</AccountId>
        <AccountType/>
      </UserInfo>
      <UserInfo>
        <DisplayName>TRUSCA, Cristina</DisplayName>
        <AccountId>5591</AccountId>
        <AccountType/>
      </UserInfo>
      <UserInfo>
        <DisplayName>HAFFENDEN, George</DisplayName>
        <AccountId>1520</AccountId>
        <AccountType/>
      </UserInfo>
      <UserInfo>
        <DisplayName>COOLEY, Jenny</DisplayName>
        <AccountId>960</AccountId>
        <AccountType/>
      </UserInfo>
      <UserInfo>
        <DisplayName>SANDACCA-APPALSAWMY, Santosh</DisplayName>
        <AccountId>934</AccountId>
        <AccountType/>
      </UserInfo>
      <UserInfo>
        <DisplayName>ALLON-SMITH, Hugh</DisplayName>
        <AccountId>605</AccountId>
        <AccountType/>
      </UserInfo>
      <UserInfo>
        <DisplayName>CHANGWE-DUBE, Nothabo</DisplayName>
        <AccountId>1727</AccountId>
        <AccountType/>
      </UserInfo>
      <UserInfo>
        <DisplayName>HARRISON, Robert</DisplayName>
        <AccountId>1504</AccountId>
        <AccountType/>
      </UserInfo>
    </SharedWithUsers>
    <Comments xmlns="39aa2e1e-647c-4922-a4b9-27717d0d339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2C62A6455DC004DAAB3689FD98014BF" ma:contentTypeVersion="14" ma:contentTypeDescription="Create a new document." ma:contentTypeScope="" ma:versionID="46797691b396b069f7a2b4d41e405525">
  <xsd:schema xmlns:xsd="http://www.w3.org/2001/XMLSchema" xmlns:xs="http://www.w3.org/2001/XMLSchema" xmlns:p="http://schemas.microsoft.com/office/2006/metadata/properties" xmlns:ns2="39aa2e1e-647c-4922-a4b9-27717d0d3397" xmlns:ns3="aae6a5a8-da70-4cee-b283-f9ffc573b243" targetNamespace="http://schemas.microsoft.com/office/2006/metadata/properties" ma:root="true" ma:fieldsID="7841460ba2bec77a73dd6d615e8db569" ns2:_="" ns3:_="">
    <xsd:import namespace="39aa2e1e-647c-4922-a4b9-27717d0d3397"/>
    <xsd:import namespace="aae6a5a8-da70-4cee-b283-f9ffc573b2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aa2e1e-647c-4922-a4b9-27717d0d33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Comments" ma:index="21" nillable="true" ma:displayName="Comments" ma:format="Dropdown"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e6a5a8-da70-4cee-b283-f9ffc573b2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2F6FF8F6-09B7-4BA2-A89A-1C3DAD63399F}">
  <ds:schemaRefs>
    <ds:schemaRef ds:uri="http://schemas.microsoft.com/sharepoint/v3/contenttype/forms"/>
  </ds:schemaRefs>
</ds:datastoreItem>
</file>

<file path=customXml/itemProps2.xml><?xml version="1.0" encoding="utf-8"?>
<ds:datastoreItem xmlns:ds="http://schemas.openxmlformats.org/officeDocument/2006/customXml" ds:itemID="{A6862AFF-D5F9-4D6D-8B9C-21AF2D96767C}">
  <ds:schemaRefs>
    <ds:schemaRef ds:uri="http://purl.org/dc/terms/"/>
    <ds:schemaRef ds:uri="http://purl.org/dc/dcmitype/"/>
    <ds:schemaRef ds:uri="39aa2e1e-647c-4922-a4b9-27717d0d3397"/>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aae6a5a8-da70-4cee-b283-f9ffc573b243"/>
    <ds:schemaRef ds:uri="http://www.w3.org/XML/1998/namespace"/>
  </ds:schemaRefs>
</ds:datastoreItem>
</file>

<file path=customXml/itemProps3.xml><?xml version="1.0" encoding="utf-8"?>
<ds:datastoreItem xmlns:ds="http://schemas.openxmlformats.org/officeDocument/2006/customXml" ds:itemID="{64F84AC3-7934-4B9E-BE22-2638B62DDC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aa2e1e-647c-4922-a4b9-27717d0d3397"/>
    <ds:schemaRef ds:uri="aae6a5a8-da70-4cee-b283-f9ffc573b2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3AE74D8-DCF3-4702-82BC-F51446B4614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Guidance</vt:lpstr>
      <vt:lpstr>Cover Sheet</vt:lpstr>
      <vt:lpstr>Monthly cash flow</vt:lpstr>
      <vt:lpstr>List of colleges</vt:lpstr>
      <vt:lpstr>OpeningBalance</vt:lpstr>
      <vt:lpstr>'Cover Sheet'!Print_Area</vt:lpstr>
      <vt:lpstr>StartDate</vt:lpstr>
      <vt:lpstr>UKPRN</vt:lpstr>
      <vt:lpstr>Version</vt:lpstr>
    </vt:vector>
  </TitlesOfParts>
  <Manager/>
  <Company>New College Nottingham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20190211 Management Accounts Standard Cash Flow Template 12</dc:title>
  <dc:subject/>
  <dc:creator>Louise Kent</dc:creator>
  <cp:keywords/>
  <dc:description/>
  <cp:lastModifiedBy>BOLAND, Richard</cp:lastModifiedBy>
  <cp:revision/>
  <dcterms:created xsi:type="dcterms:W3CDTF">2018-02-15T15:04:11Z</dcterms:created>
  <dcterms:modified xsi:type="dcterms:W3CDTF">2021-12-23T09:15:51Z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0x01010032C62A6455DC004DAAB3689FD98014BF</vt:lpwstr>
  </property>
  <property fmtid="{D5CDD505-2E9C-101B-9397-08002B2CF9AE}" pid="3" name="c02f73938b5741d4934b358b31a1b80f">
    <vt:lpwstr>Official|0884c477-2e62-47ea-b19c-5af6e91124c5</vt:lpwstr>
  </property>
  <property fmtid="{D5CDD505-2E9C-101B-9397-08002B2CF9AE}" pid="4" name="f6ec388a6d534bab86a259abd1bfa088">
    <vt:lpwstr>ESFA|f55057f6-e680-4dd8-a168-9494a8b9b0ae</vt:lpwstr>
  </property>
  <property fmtid="{D5CDD505-2E9C-101B-9397-08002B2CF9AE}" pid="5" name="p6919dbb65844893b164c5f63a6f0eeb">
    <vt:lpwstr>ESFA|4a323c2c-9aef-47e8-b09b-131faf9bac1c</vt:lpwstr>
  </property>
  <property fmtid="{D5CDD505-2E9C-101B-9397-08002B2CF9AE}" pid="6" name="TaxCatchAll">
    <vt:lpwstr>5;#ESFA|f55057f6-e680-4dd8-a168-9494a8b9b0ae;#4;#ESFA|4a323c2c-9aef-47e8-b09b-131faf9bac1c;#1;#Official|0884c477-2e62-47ea-b19c-5af6e91124c5</vt:lpwstr>
  </property>
  <property fmtid="{D5CDD505-2E9C-101B-9397-08002B2CF9AE}" pid="7" name="DfeOwner">
    <vt:lpwstr>4;#ESFA|4a323c2c-9aef-47e8-b09b-131faf9bac1c</vt:lpwstr>
  </property>
  <property fmtid="{D5CDD505-2E9C-101B-9397-08002B2CF9AE}" pid="8" name="DfeOrganisationalUnit">
    <vt:lpwstr>5;#ESFA|f55057f6-e680-4dd8-a168-9494a8b9b0ae</vt:lpwstr>
  </property>
  <property fmtid="{D5CDD505-2E9C-101B-9397-08002B2CF9AE}" pid="9" name="DfeRights:ProtectiveMarking">
    <vt:lpwstr>1;#Official|0884c477-2e62-47ea-b19c-5af6e91124c5</vt:lpwstr>
  </property>
  <property fmtid="{D5CDD505-2E9C-101B-9397-08002B2CF9AE}" pid="10" name="Jet Reports Function Literals">
    <vt:lpwstr>,	;	,	{	}	[@[{0}]]	1033	2057</vt:lpwstr>
  </property>
</Properties>
</file>